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20115" windowHeight="4935" activeTab="0"/>
  </bookViews>
  <sheets>
    <sheet name="Budget" sheetId="1" r:id="rId1"/>
  </sheets>
  <definedNames>
    <definedName name="_xlnm.Print_Area" localSheetId="0">'Budget'!$A$1:$Z$113</definedName>
  </definedNames>
  <calcPr fullCalcOnLoad="1"/>
</workbook>
</file>

<file path=xl/sharedStrings.xml><?xml version="1.0" encoding="utf-8"?>
<sst xmlns="http://schemas.openxmlformats.org/spreadsheetml/2006/main" count="167" uniqueCount="157">
  <si>
    <t>REVENUE</t>
  </si>
  <si>
    <t>EXPENSES</t>
  </si>
  <si>
    <t>Entertainment</t>
  </si>
  <si>
    <t>Hospitality</t>
  </si>
  <si>
    <t>Companion</t>
  </si>
  <si>
    <t>Administrative</t>
  </si>
  <si>
    <t>Extraordinary</t>
  </si>
  <si>
    <t>ASHRAE Region II CRC 2016</t>
  </si>
  <si>
    <t>BUDGET</t>
  </si>
  <si>
    <t>ACTUAL</t>
  </si>
  <si>
    <t>Chapter Assessment</t>
  </si>
  <si>
    <t>Partial Registration</t>
  </si>
  <si>
    <t>Full Registration</t>
  </si>
  <si>
    <t>Companion Registration</t>
  </si>
  <si>
    <t>Corporate Sponsorship</t>
  </si>
  <si>
    <t>Welcome Party Wine (CRC 2017 - Montreal)</t>
  </si>
  <si>
    <t>Quantity</t>
  </si>
  <si>
    <t>Budget</t>
  </si>
  <si>
    <t>Hotel Meeting Rooms, Including Hospitality Suite Room</t>
  </si>
  <si>
    <t>Friday Afternoon Break</t>
  </si>
  <si>
    <t>Friday Morning Breakfast</t>
  </si>
  <si>
    <t>Friday Morning Break</t>
  </si>
  <si>
    <t>Welcome Party</t>
  </si>
  <si>
    <t>Hotel</t>
  </si>
  <si>
    <t>Saturday Morning Breakfast</t>
  </si>
  <si>
    <t>Saturday Morning Break</t>
  </si>
  <si>
    <t>Saturday Afternoon Break</t>
  </si>
  <si>
    <t>Sunday Breakfast</t>
  </si>
  <si>
    <t>Sunday Morning Break</t>
  </si>
  <si>
    <t>Hotel Expenses</t>
  </si>
  <si>
    <t>Entertainment Expenses</t>
  </si>
  <si>
    <t>Hospitality Expenses</t>
  </si>
  <si>
    <t>Companion Expenses</t>
  </si>
  <si>
    <t>Telephone</t>
  </si>
  <si>
    <t>Audio Visual</t>
  </si>
  <si>
    <t>Secretary Fee</t>
  </si>
  <si>
    <t>Miscellaneous</t>
  </si>
  <si>
    <t>Banking Fees</t>
  </si>
  <si>
    <t>Administrative Expenses</t>
  </si>
  <si>
    <t>Extraordinary Expenses</t>
  </si>
  <si>
    <t>TOTAL EXPENSES</t>
  </si>
  <si>
    <t>TOTAL REVENUE</t>
  </si>
  <si>
    <t>Welcome Party Wine (CRC 2015 - Hamilton)</t>
  </si>
  <si>
    <t>CRC 2016 Seed Money From Chapter</t>
  </si>
  <si>
    <t>Repayment of CRC 2016 Seed Money From Chapter</t>
  </si>
  <si>
    <t>NET INCOME (LOSSES)</t>
  </si>
  <si>
    <t xml:space="preserve">Buses for Saturday Night Event </t>
  </si>
  <si>
    <t>Dignitary and Regional Gifts</t>
  </si>
  <si>
    <t>Photography</t>
  </si>
  <si>
    <t>Notes</t>
  </si>
  <si>
    <t>Signs and Placards</t>
  </si>
  <si>
    <t>Hospitality Expenses (Licence, beverages, food)</t>
  </si>
  <si>
    <t>Technical Tour Transportation</t>
  </si>
  <si>
    <t>Taken from Hamilton April 15th budget.</t>
  </si>
  <si>
    <t>Printing/Photocopying (Name Tags, Tickets, Itineraries, etc.)</t>
  </si>
  <si>
    <t>Delta Guest Rooms and Signature Suite Special Rate</t>
  </si>
  <si>
    <t>Delta Signature Rooms (Standard Room Cost for Attendees)</t>
  </si>
  <si>
    <t>Delta Signature Rooms</t>
  </si>
  <si>
    <t>August 26th, 2016 to August 28th, 2016</t>
  </si>
  <si>
    <t>Office Supplies, handouts, Postage, Registration Desk</t>
  </si>
  <si>
    <t>Costs from hotel contract ($189 + HST).</t>
  </si>
  <si>
    <t>Dignitary Dinner - Region II and ASHRAE</t>
  </si>
  <si>
    <t>Pricing based on 2015/2016 rates (adult admission).</t>
  </si>
  <si>
    <t>Saturday Awards Luncheon</t>
  </si>
  <si>
    <t>Friday Presidential Address Luncheon</t>
  </si>
  <si>
    <t>Increased from $2,500 to $4,000 based on comments from Hamilton CRC.</t>
  </si>
  <si>
    <t>Simple Signup Registration Website Set-Up</t>
  </si>
  <si>
    <t>2.9% plus $0.30 per transaction.  Assume 50 transactions for all of the registration and hotel costs above ($1,768.20).</t>
  </si>
  <si>
    <t>Late Registration Fees</t>
  </si>
  <si>
    <t>Plus an event shirt from above</t>
  </si>
  <si>
    <t>Paypal Fees (or Stripe) - All transactions will be done by cheque</t>
  </si>
  <si>
    <t>CRC 2016 Promotional Materials: Shirts for Volunteers and Gifts</t>
  </si>
  <si>
    <t>Quote from the Delta's AV firm was for $3,863.18.  We will look into borrowing projectors.  Allow for rental of additional microphones (Ballroom C and Shediac A/B/C), and two screens.</t>
  </si>
  <si>
    <t>Maritime Cresting estimate: $26.99 per shirt plus $5.25 per logo per shirt x 30 shirts (25 male and 5 female); $100 set-up fee; plus HST = $1,383.91.  With the Canadian dollar dropping, these costs are likely to increase, so this budget item was increased to $1,500.</t>
  </si>
  <si>
    <t>Resurgo Place: Adults are $7 (20 adult attendees) and kids are $3 (5 attendees 17 and under) plus $28.25 for a guided tour (all taxes in) = $183.25; Magnetic Hill: $10 per bus.  Lutz museum is $2 per person.  Boardwalk and Wharf Village are free to access and pay as you go.  We will carry the Resurgo price and re-evaluate closer to the event.</t>
  </si>
  <si>
    <t>Late fee per person (not per Chapter) for late registration.</t>
  </si>
  <si>
    <t>Quote from Roads To Sea Tours for a guided tour for up to 46 people for the Hopewell Rocks and the Bay of Fundy.</t>
  </si>
  <si>
    <t>Companion Tour #1 Fundy Coastal Drive Guided Bus Tour</t>
  </si>
  <si>
    <t>Companion Tour #1: Fundy/Hopewell Rocks/Cape Enrage/Lunch</t>
  </si>
  <si>
    <t>Companion Tour #2 &amp; #3: Moncton Market and Resurgo Place</t>
  </si>
  <si>
    <t>Not required as Resurgo Place is walkable (750 m/10 minute walk).  Moncton Market is closer.</t>
  </si>
  <si>
    <t>Companion Tour #2 &amp; #3 Transportation</t>
  </si>
  <si>
    <t>Based on quote for $300 plus HST from Sport Coachline.</t>
  </si>
  <si>
    <t>Based on quote for $650 plus HST from Sport Coachline for a 55 passenger coach.</t>
  </si>
  <si>
    <t>Delta Guest Rooms for the DL</t>
  </si>
  <si>
    <t>Costs from hotel contract ($149 + HST).</t>
  </si>
  <si>
    <t>1A</t>
  </si>
  <si>
    <t>Hotel Deposit</t>
  </si>
  <si>
    <t>26A</t>
  </si>
  <si>
    <t>Swag Bags</t>
  </si>
  <si>
    <t>18A</t>
  </si>
  <si>
    <t>Saturday Night at Captain Dan's</t>
  </si>
  <si>
    <t>Saturday Awards Luncheon Wine</t>
  </si>
  <si>
    <t>Based on 8 people at $60 per person plus $100 for mussels for people waiting for boats</t>
  </si>
  <si>
    <t>Simple Sign-Up set-up fee of $350+13% HST and a per person (108 people) registration fee of $1.50+13% HST = $578.56</t>
  </si>
  <si>
    <t>Included with registrations above</t>
  </si>
  <si>
    <t>US Conversions for Registrations</t>
  </si>
  <si>
    <t>65 attendees + 15% gratuity + 15% tax</t>
  </si>
  <si>
    <t>50 attendees + 15% gratuity + 15% tax</t>
  </si>
  <si>
    <t>100 attendees + 15% gratuity + 15% tax</t>
  </si>
  <si>
    <t>80 attendees + 15% gratuity + 15% tax</t>
  </si>
  <si>
    <t>30 bottles for 15 tables</t>
  </si>
  <si>
    <t>60 attendees + 15% gratuity + 15% tax</t>
  </si>
  <si>
    <t>120 attendees + 15% gratuity + 15% tax</t>
  </si>
  <si>
    <t>Quote from Shediac Bay Cruises: 109 people at $61 pp (including 15% HST) and 2 people at $41 pp</t>
  </si>
  <si>
    <t>Nortec; City of Moncton; Enertrak; C&amp;E; Viessmann; Aquavap Indotec; Global</t>
  </si>
  <si>
    <t>Delta Guest Rooms and Signature Suite Special Rate - Extra Nights</t>
  </si>
  <si>
    <t>Delta Signature Rooms - Extra Nights</t>
  </si>
  <si>
    <t>Costs from hotel contract ($149 + HST rounded up).</t>
  </si>
  <si>
    <t>91% or more of the guest rooms were occupied.</t>
  </si>
  <si>
    <t>Costs from hotel contract ($149 + HST rounded up) less 5 free rooms less 3 DL rooms.</t>
  </si>
  <si>
    <t>11A</t>
  </si>
  <si>
    <t>Saturday Night Event (Lobster Tales Cruise) - Kids</t>
  </si>
  <si>
    <t>Saturday Night Event (Lobster Tales Cruise) - Adults</t>
  </si>
  <si>
    <t>18B</t>
  </si>
  <si>
    <t>Companion Tour #1 Snacks from Tim Hortons</t>
  </si>
  <si>
    <t>Included in costs below</t>
  </si>
  <si>
    <t>37A</t>
  </si>
  <si>
    <t>Volunteer Expenses (Parking and Taxis)</t>
  </si>
  <si>
    <t>19A</t>
  </si>
  <si>
    <t>Tips for Bus Drivers</t>
  </si>
  <si>
    <t>4A</t>
  </si>
  <si>
    <t>6A</t>
  </si>
  <si>
    <t>7A</t>
  </si>
  <si>
    <t>22A</t>
  </si>
  <si>
    <t>Includes SOP for three nights and Fridge Rental from Hotel Bill</t>
  </si>
  <si>
    <t>8A</t>
  </si>
  <si>
    <t>Friday Morning Break - Individual Juices</t>
  </si>
  <si>
    <t>Friday Afternoon Break - Individual Juices</t>
  </si>
  <si>
    <t>8B</t>
  </si>
  <si>
    <t>Friday Afternoon Break - A Dozen Fresh Baked Cookies</t>
  </si>
  <si>
    <t>10A</t>
  </si>
  <si>
    <t>12A</t>
  </si>
  <si>
    <t>Saturday Afternoon Break - Individual Juices</t>
  </si>
  <si>
    <t>Saturday Morning Break - Individual Juices</t>
  </si>
  <si>
    <t>2A</t>
  </si>
  <si>
    <t>Delta Guest Rooms and Signature Suite - 1/35 Complimentary Rooms</t>
  </si>
  <si>
    <t>10B</t>
  </si>
  <si>
    <t>10C</t>
  </si>
  <si>
    <t>Individual Tickets For Events - Fundy Bus Tour</t>
  </si>
  <si>
    <t>Individual Tickets For Events - Welcome Party</t>
  </si>
  <si>
    <t>Individual Tickets For Events - Awards Luncheon</t>
  </si>
  <si>
    <t>Individual Tickets For Events - Lobster Boat Cruise</t>
  </si>
  <si>
    <t>Technical Tour (Highfield Street Pumping Station)</t>
  </si>
  <si>
    <t>Rounding to Match Hotel Bill (Note: $57.50 of hotel bill included in Hospitality Suite expenses)</t>
  </si>
  <si>
    <t>30A</t>
  </si>
  <si>
    <t>Shipping CRC Supplies to Montreal</t>
  </si>
  <si>
    <t>Actual = 48 (1 unpaid - DL)</t>
  </si>
  <si>
    <t>Actual = 22 (1 unpaid - DL Spouse)</t>
  </si>
  <si>
    <t>27A</t>
  </si>
  <si>
    <t>Attendance at Region II Planning Meeting</t>
  </si>
  <si>
    <t>Travel to Montreal (flights, transportation, hotels, expenses)</t>
  </si>
  <si>
    <t>37B</t>
  </si>
  <si>
    <t>CRC Planning Meetings</t>
  </si>
  <si>
    <t>Covered by Master Group</t>
  </si>
  <si>
    <t>$3.95 per month (waived with a minimum balance of $5,000) + $38.11 to purchase cheques.</t>
  </si>
  <si>
    <t>Not applicable since costs included throughout.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</si>
</sst>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00"/>
    <numFmt numFmtId="178" formatCode="&quot;$&quot;#,##0"/>
    <numFmt numFmtId="179" formatCode="[$-409]dddd\,\ mmmm\ dd\,\ yyyy"/>
    <numFmt numFmtId="180" formatCode="mm/dd/yy;@"/>
    <numFmt numFmtId="181" formatCode="[$-409]m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176" fontId="3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76" fontId="3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6" fontId="0" fillId="0" borderId="0" xfId="0" applyNumberFormat="1" applyAlignment="1">
      <alignment horizontal="left"/>
    </xf>
    <xf numFmtId="0" fontId="36" fillId="0" borderId="0" xfId="0" applyFont="1" applyFill="1" applyAlignment="1">
      <alignment/>
    </xf>
    <xf numFmtId="176" fontId="0" fillId="0" borderId="0" xfId="0" applyNumberFormat="1" applyFill="1" applyAlignment="1">
      <alignment horizontal="left"/>
    </xf>
    <xf numFmtId="176" fontId="0" fillId="0" borderId="0" xfId="0" applyNumberFormat="1" applyFill="1" applyAlignment="1">
      <alignment horizontal="center"/>
    </xf>
    <xf numFmtId="176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176" fontId="36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176" fontId="36" fillId="0" borderId="0" xfId="0" applyNumberFormat="1" applyFont="1" applyFill="1" applyAlignment="1" quotePrefix="1">
      <alignment horizontal="left"/>
    </xf>
    <xf numFmtId="176" fontId="0" fillId="0" borderId="0" xfId="0" applyNumberFormat="1" applyFill="1" applyAlignment="1">
      <alignment horizontal="left" vertical="center"/>
    </xf>
    <xf numFmtId="0" fontId="36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0</xdr:row>
      <xdr:rowOff>76200</xdr:rowOff>
    </xdr:from>
    <xdr:to>
      <xdr:col>3</xdr:col>
      <xdr:colOff>438150</xdr:colOff>
      <xdr:row>6</xdr:row>
      <xdr:rowOff>19050</xdr:rowOff>
    </xdr:to>
    <xdr:pic>
      <xdr:nvPicPr>
        <xdr:cNvPr id="1" name="Picture 3" descr="http://0101.nccdn.net/1_5/0b1/218/298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76200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81"/>
  <sheetViews>
    <sheetView tabSelected="1" zoomScale="85" zoomScaleNormal="85" zoomScalePageLayoutView="0" workbookViewId="0" topLeftCell="C92">
      <pane xSplit="22935" topLeftCell="AH1" activePane="topLeft" state="split"/>
      <selection pane="topLeft" activeCell="M112" sqref="M112"/>
      <selection pane="topRight" activeCell="AH70" sqref="AH70"/>
    </sheetView>
  </sheetViews>
  <sheetFormatPr defaultColWidth="9.140625" defaultRowHeight="15"/>
  <cols>
    <col min="1" max="1" width="9.140625" style="1" customWidth="1"/>
    <col min="2" max="2" width="64.28125" style="0" customWidth="1"/>
    <col min="4" max="4" width="10.140625" style="0" bestFit="1" customWidth="1"/>
    <col min="6" max="6" width="9.8515625" style="0" customWidth="1"/>
    <col min="7" max="7" width="10.57421875" style="0" customWidth="1"/>
    <col min="8" max="8" width="1.7109375" style="0" customWidth="1"/>
    <col min="9" max="11" width="9.00390625" style="0" customWidth="1"/>
    <col min="12" max="12" width="10.8515625" style="0" customWidth="1"/>
    <col min="13" max="13" width="10.7109375" style="0" customWidth="1"/>
    <col min="20" max="20" width="25.8515625" style="0" customWidth="1"/>
  </cols>
  <sheetData>
    <row r="1" spans="1:13" ht="1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s="4" customFormat="1" ht="15">
      <c r="A7" s="29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s="4" customFormat="1" ht="15.75" thickBot="1">
      <c r="A8" s="32" t="s">
        <v>58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4:12" ht="15.75" thickBot="1">
      <c r="D9" s="2"/>
      <c r="E9" s="2"/>
      <c r="F9" s="2"/>
      <c r="G9" s="2"/>
      <c r="H9" s="2"/>
      <c r="I9" s="2"/>
      <c r="J9" s="2"/>
      <c r="K9" s="2"/>
      <c r="L9" s="2"/>
    </row>
    <row r="10" spans="1:14" s="4" customFormat="1" ht="15.75" thickBot="1">
      <c r="A10" s="5"/>
      <c r="C10" s="35" t="s">
        <v>8</v>
      </c>
      <c r="D10" s="36"/>
      <c r="E10" s="36"/>
      <c r="F10" s="36"/>
      <c r="G10" s="37"/>
      <c r="H10" s="5"/>
      <c r="I10" s="35" t="s">
        <v>9</v>
      </c>
      <c r="J10" s="36"/>
      <c r="K10" s="36"/>
      <c r="L10" s="36"/>
      <c r="M10" s="37"/>
      <c r="N10" s="4" t="s">
        <v>49</v>
      </c>
    </row>
    <row r="11" s="4" customFormat="1" ht="15">
      <c r="A11" s="6" t="s">
        <v>0</v>
      </c>
    </row>
    <row r="12" spans="3:10" s="5" customFormat="1" ht="15">
      <c r="C12" s="5" t="s">
        <v>16</v>
      </c>
      <c r="D12" s="5" t="s">
        <v>17</v>
      </c>
      <c r="I12" s="5" t="s">
        <v>16</v>
      </c>
      <c r="J12" s="5" t="s">
        <v>17</v>
      </c>
    </row>
    <row r="13" spans="1:18" ht="15">
      <c r="A13" s="1">
        <v>1</v>
      </c>
      <c r="B13" t="s">
        <v>10</v>
      </c>
      <c r="C13" s="23">
        <v>1746</v>
      </c>
      <c r="D13" s="20">
        <v>6</v>
      </c>
      <c r="E13" s="7"/>
      <c r="F13" s="7">
        <f>C13*D13</f>
        <v>10476</v>
      </c>
      <c r="G13" s="7"/>
      <c r="H13" s="7"/>
      <c r="I13" s="23">
        <v>1746</v>
      </c>
      <c r="J13" s="20">
        <v>6</v>
      </c>
      <c r="K13" s="7"/>
      <c r="L13" s="7">
        <f aca="true" t="shared" si="0" ref="L13:L29">I13*J13</f>
        <v>10476</v>
      </c>
      <c r="M13" s="7"/>
      <c r="N13" s="19"/>
      <c r="O13" s="2"/>
      <c r="P13" s="2"/>
      <c r="Q13" s="2"/>
      <c r="R13" s="2"/>
    </row>
    <row r="14" spans="1:20" ht="15">
      <c r="A14" s="1">
        <v>2</v>
      </c>
      <c r="B14" t="s">
        <v>12</v>
      </c>
      <c r="C14" s="9">
        <v>45</v>
      </c>
      <c r="D14" s="20">
        <v>425</v>
      </c>
      <c r="E14" s="7"/>
      <c r="F14" s="7">
        <f aca="true" t="shared" si="1" ref="F14:F29">C14*D14</f>
        <v>19125</v>
      </c>
      <c r="G14" s="7"/>
      <c r="H14" s="7"/>
      <c r="I14" s="26">
        <v>47</v>
      </c>
      <c r="J14" s="20">
        <v>425</v>
      </c>
      <c r="K14" s="7"/>
      <c r="L14" s="20">
        <f t="shared" si="0"/>
        <v>19975</v>
      </c>
      <c r="M14" s="20"/>
      <c r="N14" s="19" t="s">
        <v>147</v>
      </c>
      <c r="O14" s="2"/>
      <c r="P14" s="2"/>
      <c r="Q14" s="2"/>
      <c r="R14" s="2"/>
      <c r="S14" s="2"/>
      <c r="T14" s="2"/>
    </row>
    <row r="15" spans="1:20" ht="15">
      <c r="A15" s="1">
        <v>3</v>
      </c>
      <c r="B15" t="s">
        <v>11</v>
      </c>
      <c r="C15" s="9">
        <v>40</v>
      </c>
      <c r="D15" s="20">
        <v>300</v>
      </c>
      <c r="E15" s="7"/>
      <c r="F15" s="7">
        <f t="shared" si="1"/>
        <v>12000</v>
      </c>
      <c r="G15" s="7"/>
      <c r="H15" s="7"/>
      <c r="I15" s="23">
        <v>41</v>
      </c>
      <c r="J15" s="20">
        <v>300</v>
      </c>
      <c r="K15" s="7"/>
      <c r="L15" s="20">
        <f t="shared" si="0"/>
        <v>12300</v>
      </c>
      <c r="M15" s="20"/>
      <c r="N15" s="19"/>
      <c r="O15" s="2"/>
      <c r="P15" s="2"/>
      <c r="Q15" s="2"/>
      <c r="R15" s="2"/>
      <c r="S15" s="2"/>
      <c r="T15" s="2"/>
    </row>
    <row r="16" spans="1:20" ht="15">
      <c r="A16" s="1">
        <v>4</v>
      </c>
      <c r="B16" t="s">
        <v>13</v>
      </c>
      <c r="C16" s="9">
        <v>20</v>
      </c>
      <c r="D16" s="20">
        <v>150</v>
      </c>
      <c r="E16" s="7"/>
      <c r="F16" s="7">
        <f t="shared" si="1"/>
        <v>3000</v>
      </c>
      <c r="G16" s="7"/>
      <c r="H16" s="7"/>
      <c r="I16" s="26">
        <v>21</v>
      </c>
      <c r="J16" s="20">
        <v>150</v>
      </c>
      <c r="K16" s="7"/>
      <c r="L16" s="20">
        <f t="shared" si="0"/>
        <v>3150</v>
      </c>
      <c r="M16" s="20"/>
      <c r="N16" s="19" t="s">
        <v>148</v>
      </c>
      <c r="O16" s="2"/>
      <c r="P16" s="2"/>
      <c r="Q16" s="2"/>
      <c r="R16" s="2"/>
      <c r="S16" s="2"/>
      <c r="T16" s="2"/>
    </row>
    <row r="17" spans="1:20" ht="15">
      <c r="A17" s="1" t="s">
        <v>121</v>
      </c>
      <c r="B17" t="s">
        <v>96</v>
      </c>
      <c r="C17" s="9"/>
      <c r="D17" s="20"/>
      <c r="E17" s="7"/>
      <c r="F17" s="7"/>
      <c r="G17" s="7"/>
      <c r="H17" s="7"/>
      <c r="I17" s="23">
        <v>1</v>
      </c>
      <c r="J17" s="20">
        <f>1058.13+1239.88+198.91-(935+175+935+150)</f>
        <v>301.9200000000001</v>
      </c>
      <c r="K17" s="7"/>
      <c r="L17" s="20">
        <f t="shared" si="0"/>
        <v>301.9200000000001</v>
      </c>
      <c r="M17" s="7"/>
      <c r="N17" s="19"/>
      <c r="O17" s="2"/>
      <c r="P17" s="2"/>
      <c r="Q17" s="2"/>
      <c r="R17" s="2"/>
      <c r="S17" s="2"/>
      <c r="T17" s="2"/>
    </row>
    <row r="18" spans="1:20" ht="15">
      <c r="A18" s="1">
        <v>5</v>
      </c>
      <c r="B18" t="s">
        <v>68</v>
      </c>
      <c r="C18" s="9">
        <v>0</v>
      </c>
      <c r="D18" s="20">
        <v>25</v>
      </c>
      <c r="E18" s="7"/>
      <c r="F18" s="7">
        <f t="shared" si="1"/>
        <v>0</v>
      </c>
      <c r="G18" s="7"/>
      <c r="H18" s="7"/>
      <c r="I18" s="23">
        <v>2</v>
      </c>
      <c r="J18" s="20">
        <v>25</v>
      </c>
      <c r="K18" s="7"/>
      <c r="L18" s="20">
        <f t="shared" si="0"/>
        <v>50</v>
      </c>
      <c r="M18" s="7"/>
      <c r="N18" s="19" t="s">
        <v>75</v>
      </c>
      <c r="O18" s="2"/>
      <c r="P18" s="2"/>
      <c r="Q18" s="2"/>
      <c r="R18" s="2"/>
      <c r="S18" s="2"/>
      <c r="T18" s="2"/>
    </row>
    <row r="19" spans="1:20" ht="15">
      <c r="A19" s="9">
        <v>6</v>
      </c>
      <c r="B19" s="2" t="s">
        <v>55</v>
      </c>
      <c r="C19" s="9">
        <v>140</v>
      </c>
      <c r="D19" s="20">
        <v>175</v>
      </c>
      <c r="E19" s="20"/>
      <c r="F19" s="20">
        <f t="shared" si="1"/>
        <v>24500</v>
      </c>
      <c r="G19" s="7"/>
      <c r="H19" s="7"/>
      <c r="I19" s="23">
        <f>198-I20-I21-I22-5-3</f>
        <v>179</v>
      </c>
      <c r="J19" s="20">
        <v>170</v>
      </c>
      <c r="K19" s="7"/>
      <c r="L19" s="20">
        <f t="shared" si="0"/>
        <v>30430</v>
      </c>
      <c r="M19" s="20"/>
      <c r="N19" s="28" t="s">
        <v>110</v>
      </c>
      <c r="O19" s="28"/>
      <c r="P19" s="28"/>
      <c r="Q19" s="28"/>
      <c r="R19" s="28"/>
      <c r="S19" s="28"/>
      <c r="T19" s="28"/>
    </row>
    <row r="20" spans="1:20" ht="15">
      <c r="A20" s="9" t="s">
        <v>122</v>
      </c>
      <c r="B20" s="2" t="s">
        <v>106</v>
      </c>
      <c r="C20" s="9"/>
      <c r="D20" s="20"/>
      <c r="E20" s="20"/>
      <c r="F20" s="20"/>
      <c r="G20" s="7"/>
      <c r="H20" s="7"/>
      <c r="I20" s="23">
        <v>1</v>
      </c>
      <c r="J20" s="20">
        <v>175</v>
      </c>
      <c r="K20" s="7"/>
      <c r="L20" s="20">
        <f t="shared" si="0"/>
        <v>175</v>
      </c>
      <c r="M20" s="20"/>
      <c r="N20" s="28"/>
      <c r="O20" s="28"/>
      <c r="P20" s="28"/>
      <c r="Q20" s="28"/>
      <c r="R20" s="28"/>
      <c r="S20" s="28"/>
      <c r="T20" s="28"/>
    </row>
    <row r="21" spans="1:20" ht="15">
      <c r="A21" s="9">
        <v>7</v>
      </c>
      <c r="B21" s="2" t="s">
        <v>57</v>
      </c>
      <c r="C21" s="9">
        <v>9</v>
      </c>
      <c r="D21" s="20">
        <v>175</v>
      </c>
      <c r="E21" s="20"/>
      <c r="F21" s="20">
        <f t="shared" si="1"/>
        <v>1575</v>
      </c>
      <c r="G21" s="7"/>
      <c r="H21" s="7"/>
      <c r="I21" s="23">
        <v>9</v>
      </c>
      <c r="J21" s="20">
        <v>170</v>
      </c>
      <c r="K21" s="7"/>
      <c r="L21" s="20">
        <f t="shared" si="0"/>
        <v>1530</v>
      </c>
      <c r="M21" s="7"/>
      <c r="N21" s="28" t="s">
        <v>108</v>
      </c>
      <c r="O21" s="28"/>
      <c r="P21" s="28"/>
      <c r="Q21" s="28"/>
      <c r="R21" s="28"/>
      <c r="S21" s="28"/>
      <c r="T21" s="28"/>
    </row>
    <row r="22" spans="1:20" ht="15">
      <c r="A22" s="9" t="s">
        <v>123</v>
      </c>
      <c r="B22" s="2" t="s">
        <v>107</v>
      </c>
      <c r="C22" s="9"/>
      <c r="D22" s="20"/>
      <c r="E22" s="20"/>
      <c r="F22" s="20"/>
      <c r="G22" s="7"/>
      <c r="H22" s="7"/>
      <c r="I22" s="23">
        <v>1</v>
      </c>
      <c r="J22" s="20">
        <v>175</v>
      </c>
      <c r="K22" s="7"/>
      <c r="L22" s="20">
        <f t="shared" si="0"/>
        <v>175</v>
      </c>
      <c r="M22" s="7"/>
      <c r="N22" s="28"/>
      <c r="O22" s="28"/>
      <c r="P22" s="28"/>
      <c r="Q22" s="28"/>
      <c r="R22" s="28"/>
      <c r="S22" s="28"/>
      <c r="T22" s="28"/>
    </row>
    <row r="23" spans="1:24" ht="15">
      <c r="A23" s="9">
        <v>8</v>
      </c>
      <c r="B23" s="2" t="s">
        <v>14</v>
      </c>
      <c r="C23" s="9">
        <v>1</v>
      </c>
      <c r="D23" s="20">
        <v>3800</v>
      </c>
      <c r="E23" s="20"/>
      <c r="F23" s="20">
        <f t="shared" si="1"/>
        <v>3800</v>
      </c>
      <c r="G23" s="20"/>
      <c r="H23" s="20"/>
      <c r="I23" s="23">
        <v>1</v>
      </c>
      <c r="J23" s="20">
        <v>4150</v>
      </c>
      <c r="K23" s="20"/>
      <c r="L23" s="20">
        <f t="shared" si="0"/>
        <v>4150</v>
      </c>
      <c r="M23" s="20"/>
      <c r="N23" s="19" t="s">
        <v>105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14" ht="15">
      <c r="A24" s="1">
        <v>9</v>
      </c>
      <c r="B24" t="s">
        <v>15</v>
      </c>
      <c r="C24" s="9">
        <v>1</v>
      </c>
      <c r="D24" s="20">
        <v>1000</v>
      </c>
      <c r="E24" s="7"/>
      <c r="F24" s="7">
        <f t="shared" si="1"/>
        <v>1000</v>
      </c>
      <c r="G24" s="7"/>
      <c r="H24" s="7"/>
      <c r="I24" s="23">
        <v>1</v>
      </c>
      <c r="J24" s="20">
        <v>1000</v>
      </c>
      <c r="K24" s="7"/>
      <c r="L24" s="20">
        <f t="shared" si="0"/>
        <v>1000</v>
      </c>
      <c r="M24" s="7"/>
      <c r="N24" s="7"/>
    </row>
    <row r="25" spans="1:24" ht="15">
      <c r="A25" s="1">
        <v>10</v>
      </c>
      <c r="B25" t="s">
        <v>139</v>
      </c>
      <c r="C25" s="9">
        <v>1</v>
      </c>
      <c r="D25" s="20">
        <v>1000</v>
      </c>
      <c r="E25" s="7"/>
      <c r="F25" s="7">
        <f t="shared" si="1"/>
        <v>1000</v>
      </c>
      <c r="G25" s="7"/>
      <c r="H25" s="7"/>
      <c r="I25" s="23">
        <v>5</v>
      </c>
      <c r="J25" s="20">
        <v>50</v>
      </c>
      <c r="K25" s="20"/>
      <c r="L25" s="20">
        <f t="shared" si="0"/>
        <v>250</v>
      </c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>
      <c r="A26" s="1" t="s">
        <v>131</v>
      </c>
      <c r="B26" t="s">
        <v>140</v>
      </c>
      <c r="C26" s="9"/>
      <c r="D26" s="20"/>
      <c r="E26" s="7"/>
      <c r="F26" s="7"/>
      <c r="G26" s="7"/>
      <c r="H26" s="7"/>
      <c r="I26" s="23">
        <v>1</v>
      </c>
      <c r="J26" s="20">
        <v>50</v>
      </c>
      <c r="K26" s="20"/>
      <c r="L26" s="20">
        <f t="shared" si="0"/>
        <v>50</v>
      </c>
      <c r="M26" s="7"/>
      <c r="N26" s="19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1" t="s">
        <v>137</v>
      </c>
      <c r="B27" t="s">
        <v>141</v>
      </c>
      <c r="C27" s="9"/>
      <c r="D27" s="20"/>
      <c r="E27" s="7"/>
      <c r="F27" s="7"/>
      <c r="G27" s="7"/>
      <c r="H27" s="7"/>
      <c r="I27" s="23">
        <v>2</v>
      </c>
      <c r="J27" s="20">
        <v>50</v>
      </c>
      <c r="K27" s="20"/>
      <c r="L27" s="20">
        <f t="shared" si="0"/>
        <v>100</v>
      </c>
      <c r="M27" s="7"/>
      <c r="N27" s="19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138</v>
      </c>
      <c r="B28" t="s">
        <v>142</v>
      </c>
      <c r="C28" s="9"/>
      <c r="D28" s="20"/>
      <c r="E28" s="7"/>
      <c r="F28" s="7"/>
      <c r="G28" s="7"/>
      <c r="H28" s="7"/>
      <c r="I28" s="23">
        <v>3</v>
      </c>
      <c r="J28" s="20">
        <v>100</v>
      </c>
      <c r="K28" s="20"/>
      <c r="L28" s="20">
        <f t="shared" si="0"/>
        <v>300</v>
      </c>
      <c r="M28" s="7"/>
      <c r="N28" s="19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9" ht="15.75" thickBot="1">
      <c r="A29" s="1">
        <v>11</v>
      </c>
      <c r="B29" s="2" t="s">
        <v>43</v>
      </c>
      <c r="C29" s="9">
        <v>1</v>
      </c>
      <c r="D29" s="20">
        <v>5000</v>
      </c>
      <c r="E29" s="7"/>
      <c r="F29" s="7">
        <f t="shared" si="1"/>
        <v>5000</v>
      </c>
      <c r="G29" s="7"/>
      <c r="H29" s="7"/>
      <c r="I29" s="23">
        <v>0</v>
      </c>
      <c r="J29" s="20">
        <v>5000</v>
      </c>
      <c r="K29" s="7"/>
      <c r="L29" s="20">
        <f t="shared" si="0"/>
        <v>0</v>
      </c>
      <c r="M29" s="20"/>
      <c r="N29" s="19" t="s">
        <v>95</v>
      </c>
      <c r="O29" s="2"/>
      <c r="P29" s="2"/>
      <c r="Q29" s="2"/>
      <c r="R29" s="2"/>
      <c r="S29" s="2"/>
    </row>
    <row r="30" spans="1:18" s="4" customFormat="1" ht="15.75" thickBot="1">
      <c r="A30" s="5"/>
      <c r="B30" s="3" t="s">
        <v>41</v>
      </c>
      <c r="C30" s="5"/>
      <c r="D30" s="21"/>
      <c r="E30" s="8"/>
      <c r="F30" s="8"/>
      <c r="G30" s="10">
        <f>SUM(F13:F29)</f>
        <v>81476</v>
      </c>
      <c r="H30" s="8"/>
      <c r="I30" s="8"/>
      <c r="J30" s="8"/>
      <c r="K30" s="8"/>
      <c r="L30" s="8"/>
      <c r="M30" s="25">
        <f>SUM(L13:L29)</f>
        <v>84412.92</v>
      </c>
      <c r="N30" s="21"/>
      <c r="O30" s="18"/>
      <c r="P30" s="18"/>
      <c r="Q30" s="18"/>
      <c r="R30" s="18"/>
    </row>
    <row r="31" spans="3:14" ht="15">
      <c r="C31" s="1"/>
      <c r="D31" s="20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6" t="s">
        <v>1</v>
      </c>
      <c r="C32" s="1"/>
      <c r="D32" s="20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6"/>
      <c r="B33" s="4" t="s">
        <v>23</v>
      </c>
      <c r="C33" s="1"/>
      <c r="D33" s="20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">
        <v>1</v>
      </c>
      <c r="B34" t="s">
        <v>18</v>
      </c>
      <c r="C34" s="1">
        <v>1</v>
      </c>
      <c r="D34" s="20">
        <f>2920*1.15</f>
        <v>3357.9999999999995</v>
      </c>
      <c r="E34" s="7"/>
      <c r="F34" s="7">
        <f aca="true" t="shared" si="2" ref="F34:F55">C34*D34</f>
        <v>3357.9999999999995</v>
      </c>
      <c r="G34" s="7"/>
      <c r="H34" s="7"/>
      <c r="I34" s="23">
        <v>1</v>
      </c>
      <c r="J34" s="20">
        <f>(52.5+138.75+48.75+52.5+138.75+74.25+41.25+37.5+48.75+52.5+26.25+44.25+52.5+67.5)*1.15</f>
        <v>1007.4</v>
      </c>
      <c r="K34" s="7"/>
      <c r="L34" s="20">
        <f aca="true" t="shared" si="3" ref="L34:L56">I34*J34</f>
        <v>1007.4</v>
      </c>
      <c r="M34" s="7"/>
      <c r="N34" s="17" t="s">
        <v>109</v>
      </c>
    </row>
    <row r="35" spans="1:14" ht="15">
      <c r="A35" s="1" t="s">
        <v>86</v>
      </c>
      <c r="B35" t="s">
        <v>87</v>
      </c>
      <c r="C35" s="1"/>
      <c r="D35" s="20"/>
      <c r="E35" s="7"/>
      <c r="F35" s="7"/>
      <c r="G35" s="7"/>
      <c r="H35" s="7"/>
      <c r="I35" s="23">
        <v>0</v>
      </c>
      <c r="J35" s="20">
        <v>1000</v>
      </c>
      <c r="K35" s="7"/>
      <c r="L35" s="20">
        <f t="shared" si="3"/>
        <v>0</v>
      </c>
      <c r="M35" s="7"/>
      <c r="N35" s="17" t="s">
        <v>116</v>
      </c>
    </row>
    <row r="36" spans="1:14" ht="15">
      <c r="A36" s="1">
        <v>2</v>
      </c>
      <c r="B36" t="s">
        <v>55</v>
      </c>
      <c r="C36" s="9">
        <v>140</v>
      </c>
      <c r="D36" s="20">
        <f>149*1.15</f>
        <v>171.35</v>
      </c>
      <c r="E36" s="7"/>
      <c r="F36" s="7">
        <f t="shared" si="2"/>
        <v>23989</v>
      </c>
      <c r="G36" s="7"/>
      <c r="H36" s="7"/>
      <c r="I36" s="23">
        <f>198-I38-I39</f>
        <v>184</v>
      </c>
      <c r="J36" s="20">
        <f>149*1.15</f>
        <v>171.35</v>
      </c>
      <c r="K36" s="7"/>
      <c r="L36" s="20">
        <f t="shared" si="3"/>
        <v>31528.399999999998</v>
      </c>
      <c r="M36" s="7"/>
      <c r="N36" s="17" t="s">
        <v>85</v>
      </c>
    </row>
    <row r="37" spans="1:14" ht="15">
      <c r="A37" s="1" t="s">
        <v>135</v>
      </c>
      <c r="B37" t="s">
        <v>136</v>
      </c>
      <c r="C37" s="9"/>
      <c r="D37" s="20"/>
      <c r="E37" s="7"/>
      <c r="F37" s="7"/>
      <c r="G37" s="7"/>
      <c r="H37" s="7"/>
      <c r="I37" s="23">
        <v>5</v>
      </c>
      <c r="J37" s="20">
        <f>-149*1.15</f>
        <v>-171.35</v>
      </c>
      <c r="K37" s="7"/>
      <c r="L37" s="20">
        <f t="shared" si="3"/>
        <v>-856.75</v>
      </c>
      <c r="M37" s="7"/>
      <c r="N37" s="17"/>
    </row>
    <row r="38" spans="1:14" ht="15">
      <c r="A38" s="1">
        <v>3</v>
      </c>
      <c r="B38" t="s">
        <v>56</v>
      </c>
      <c r="C38" s="9">
        <v>9</v>
      </c>
      <c r="D38" s="20">
        <f>189*1.15</f>
        <v>217.35</v>
      </c>
      <c r="E38" s="7"/>
      <c r="F38" s="7">
        <f t="shared" si="2"/>
        <v>1956.1499999999999</v>
      </c>
      <c r="G38" s="7"/>
      <c r="H38" s="7"/>
      <c r="I38" s="23">
        <v>10</v>
      </c>
      <c r="J38" s="20">
        <f>189*1.15</f>
        <v>217.35</v>
      </c>
      <c r="K38" s="7"/>
      <c r="L38" s="20">
        <f t="shared" si="3"/>
        <v>2173.5</v>
      </c>
      <c r="M38" s="7"/>
      <c r="N38" s="17" t="s">
        <v>60</v>
      </c>
    </row>
    <row r="39" spans="1:17" ht="15">
      <c r="A39" s="9">
        <v>4</v>
      </c>
      <c r="B39" s="2" t="s">
        <v>84</v>
      </c>
      <c r="C39" s="9">
        <v>3</v>
      </c>
      <c r="D39" s="20">
        <f>149*1.15</f>
        <v>171.35</v>
      </c>
      <c r="E39" s="20"/>
      <c r="F39" s="20">
        <f>C39*D39</f>
        <v>514.05</v>
      </c>
      <c r="G39" s="20"/>
      <c r="H39" s="20"/>
      <c r="I39" s="23">
        <v>4</v>
      </c>
      <c r="J39" s="20">
        <f>149*1.15</f>
        <v>171.35</v>
      </c>
      <c r="K39" s="20"/>
      <c r="L39" s="20">
        <f t="shared" si="3"/>
        <v>685.4</v>
      </c>
      <c r="M39" s="20"/>
      <c r="N39" s="19" t="s">
        <v>85</v>
      </c>
      <c r="O39" s="2"/>
      <c r="P39" s="2"/>
      <c r="Q39" s="2"/>
    </row>
    <row r="40" spans="1:21" ht="15">
      <c r="A40" s="1">
        <v>5</v>
      </c>
      <c r="B40" t="s">
        <v>20</v>
      </c>
      <c r="C40" s="9">
        <v>55</v>
      </c>
      <c r="D40" s="20">
        <f>20.95*1.15*1.2</f>
        <v>28.910999999999994</v>
      </c>
      <c r="E40" s="20"/>
      <c r="F40" s="20">
        <f t="shared" si="2"/>
        <v>1590.1049999999998</v>
      </c>
      <c r="G40" s="7"/>
      <c r="H40" s="7"/>
      <c r="I40" s="23">
        <v>65</v>
      </c>
      <c r="J40" s="20">
        <f>20.95*1.15*1.15</f>
        <v>27.706374999999994</v>
      </c>
      <c r="K40" s="7"/>
      <c r="L40" s="20">
        <f t="shared" si="3"/>
        <v>1800.9143749999996</v>
      </c>
      <c r="M40" s="7"/>
      <c r="N40" s="19" t="s">
        <v>97</v>
      </c>
      <c r="O40" s="2"/>
      <c r="P40" s="2"/>
      <c r="Q40" s="2"/>
      <c r="R40" s="2"/>
      <c r="S40" s="2"/>
      <c r="T40" s="2"/>
      <c r="U40" s="24"/>
    </row>
    <row r="41" spans="1:21" ht="15">
      <c r="A41" s="1">
        <v>6</v>
      </c>
      <c r="B41" t="s">
        <v>21</v>
      </c>
      <c r="C41" s="9">
        <v>45</v>
      </c>
      <c r="D41" s="20">
        <f>11.95*1.15*1.2</f>
        <v>16.490999999999996</v>
      </c>
      <c r="E41" s="20"/>
      <c r="F41" s="20">
        <f t="shared" si="2"/>
        <v>742.0949999999998</v>
      </c>
      <c r="G41" s="7"/>
      <c r="H41" s="7"/>
      <c r="I41" s="23">
        <v>50</v>
      </c>
      <c r="J41" s="20">
        <f>(3.75+3.75+1.75)*1.15*1.15</f>
        <v>12.233124999999998</v>
      </c>
      <c r="K41" s="7"/>
      <c r="L41" s="20">
        <f t="shared" si="3"/>
        <v>611.6562499999999</v>
      </c>
      <c r="M41" s="7"/>
      <c r="N41" s="19" t="s">
        <v>98</v>
      </c>
      <c r="O41" s="2"/>
      <c r="P41" s="2"/>
      <c r="Q41" s="2"/>
      <c r="R41" s="2"/>
      <c r="S41" s="2"/>
      <c r="T41" s="2"/>
      <c r="U41" s="24"/>
    </row>
    <row r="42" spans="1:21" ht="15">
      <c r="A42" s="1" t="s">
        <v>122</v>
      </c>
      <c r="B42" t="s">
        <v>127</v>
      </c>
      <c r="C42" s="9"/>
      <c r="D42" s="20"/>
      <c r="E42" s="20"/>
      <c r="F42" s="20"/>
      <c r="G42" s="7"/>
      <c r="H42" s="7"/>
      <c r="I42" s="23">
        <v>2</v>
      </c>
      <c r="J42" s="20">
        <f>2.95*1.15*1.15</f>
        <v>3.901375</v>
      </c>
      <c r="K42" s="7"/>
      <c r="L42" s="20">
        <f t="shared" si="3"/>
        <v>7.80275</v>
      </c>
      <c r="M42" s="7"/>
      <c r="N42" s="19"/>
      <c r="O42" s="2"/>
      <c r="P42" s="2"/>
      <c r="Q42" s="2"/>
      <c r="R42" s="2"/>
      <c r="S42" s="2"/>
      <c r="T42" s="2"/>
      <c r="U42" s="24"/>
    </row>
    <row r="43" spans="1:21" ht="15">
      <c r="A43" s="1">
        <v>7</v>
      </c>
      <c r="B43" t="s">
        <v>64</v>
      </c>
      <c r="C43" s="9">
        <v>55</v>
      </c>
      <c r="D43" s="20">
        <f>23.95*1.15*1.2</f>
        <v>33.050999999999995</v>
      </c>
      <c r="E43" s="20"/>
      <c r="F43" s="20">
        <f t="shared" si="2"/>
        <v>1817.8049999999996</v>
      </c>
      <c r="G43" s="7"/>
      <c r="H43" s="7"/>
      <c r="I43" s="23">
        <v>50</v>
      </c>
      <c r="J43" s="20">
        <f>23.95*1.15*1.15</f>
        <v>31.673874999999995</v>
      </c>
      <c r="K43" s="7"/>
      <c r="L43" s="20">
        <f t="shared" si="3"/>
        <v>1583.6937499999997</v>
      </c>
      <c r="M43" s="7"/>
      <c r="N43" s="19" t="s">
        <v>98</v>
      </c>
      <c r="O43" s="2"/>
      <c r="P43" s="2"/>
      <c r="Q43" s="2"/>
      <c r="R43" s="2"/>
      <c r="S43" s="2"/>
      <c r="T43" s="2"/>
      <c r="U43" s="24"/>
    </row>
    <row r="44" spans="1:21" ht="15">
      <c r="A44" s="1">
        <v>8</v>
      </c>
      <c r="B44" t="s">
        <v>19</v>
      </c>
      <c r="C44" s="9">
        <v>45</v>
      </c>
      <c r="D44" s="20">
        <f>D41</f>
        <v>16.490999999999996</v>
      </c>
      <c r="E44" s="20"/>
      <c r="F44" s="20">
        <f t="shared" si="2"/>
        <v>742.0949999999998</v>
      </c>
      <c r="G44" s="7"/>
      <c r="H44" s="7"/>
      <c r="I44" s="23">
        <v>50</v>
      </c>
      <c r="J44" s="20">
        <f>(3.75+2.5)*1.15*1.15</f>
        <v>8.265624999999998</v>
      </c>
      <c r="K44" s="7"/>
      <c r="L44" s="20">
        <f t="shared" si="3"/>
        <v>413.2812499999999</v>
      </c>
      <c r="M44" s="7"/>
      <c r="N44" s="19" t="s">
        <v>98</v>
      </c>
      <c r="O44" s="2"/>
      <c r="P44" s="2"/>
      <c r="Q44" s="2"/>
      <c r="R44" s="2"/>
      <c r="S44" s="2"/>
      <c r="T44" s="2"/>
      <c r="U44" s="24"/>
    </row>
    <row r="45" spans="1:21" ht="15">
      <c r="A45" s="1" t="s">
        <v>126</v>
      </c>
      <c r="B45" t="s">
        <v>130</v>
      </c>
      <c r="C45" s="9"/>
      <c r="D45" s="20"/>
      <c r="E45" s="20"/>
      <c r="F45" s="20"/>
      <c r="G45" s="7"/>
      <c r="H45" s="7"/>
      <c r="I45" s="23">
        <v>4</v>
      </c>
      <c r="J45" s="20">
        <f>19.95*1.15*1.15</f>
        <v>26.383874999999996</v>
      </c>
      <c r="K45" s="7"/>
      <c r="L45" s="20">
        <f t="shared" si="3"/>
        <v>105.53549999999998</v>
      </c>
      <c r="M45" s="7"/>
      <c r="N45" s="19"/>
      <c r="O45" s="2"/>
      <c r="P45" s="2"/>
      <c r="Q45" s="2"/>
      <c r="R45" s="2"/>
      <c r="S45" s="2"/>
      <c r="T45" s="2"/>
      <c r="U45" s="24"/>
    </row>
    <row r="46" spans="1:21" ht="15">
      <c r="A46" s="1" t="s">
        <v>129</v>
      </c>
      <c r="B46" t="s">
        <v>128</v>
      </c>
      <c r="C46" s="9"/>
      <c r="D46" s="20"/>
      <c r="E46" s="20"/>
      <c r="F46" s="20"/>
      <c r="G46" s="7"/>
      <c r="H46" s="7"/>
      <c r="I46" s="23">
        <v>3</v>
      </c>
      <c r="J46" s="20">
        <f>2.95*1.15*1.15</f>
        <v>3.901375</v>
      </c>
      <c r="K46" s="7"/>
      <c r="L46" s="20">
        <f t="shared" si="3"/>
        <v>11.704125</v>
      </c>
      <c r="M46" s="7"/>
      <c r="N46" s="19"/>
      <c r="O46" s="2"/>
      <c r="P46" s="2"/>
      <c r="Q46" s="2"/>
      <c r="R46" s="2"/>
      <c r="S46" s="2"/>
      <c r="T46" s="2"/>
      <c r="U46" s="24"/>
    </row>
    <row r="47" spans="1:21" ht="15">
      <c r="A47" s="1">
        <v>9</v>
      </c>
      <c r="B47" t="s">
        <v>24</v>
      </c>
      <c r="C47" s="9">
        <v>105</v>
      </c>
      <c r="D47" s="20">
        <f>15.25*1.15*1.2</f>
        <v>21.044999999999998</v>
      </c>
      <c r="E47" s="20"/>
      <c r="F47" s="20">
        <f t="shared" si="2"/>
        <v>2209.725</v>
      </c>
      <c r="G47" s="7"/>
      <c r="H47" s="7"/>
      <c r="I47" s="23">
        <v>100</v>
      </c>
      <c r="J47" s="20">
        <f>15.25*1.15*1.15</f>
        <v>20.168124999999996</v>
      </c>
      <c r="K47" s="7"/>
      <c r="L47" s="20">
        <f t="shared" si="3"/>
        <v>2016.8124999999995</v>
      </c>
      <c r="M47" s="7"/>
      <c r="N47" s="19" t="s">
        <v>99</v>
      </c>
      <c r="O47" s="2"/>
      <c r="P47" s="2"/>
      <c r="Q47" s="2"/>
      <c r="R47" s="2"/>
      <c r="S47" s="2"/>
      <c r="T47" s="2"/>
      <c r="U47" s="24"/>
    </row>
    <row r="48" spans="1:21" ht="15">
      <c r="A48" s="1">
        <v>10</v>
      </c>
      <c r="B48" t="s">
        <v>25</v>
      </c>
      <c r="C48" s="9">
        <v>80</v>
      </c>
      <c r="D48" s="20">
        <f>D41</f>
        <v>16.490999999999996</v>
      </c>
      <c r="E48" s="20"/>
      <c r="F48" s="20">
        <f t="shared" si="2"/>
        <v>1319.2799999999997</v>
      </c>
      <c r="G48" s="7"/>
      <c r="H48" s="7"/>
      <c r="I48" s="23">
        <v>80</v>
      </c>
      <c r="J48" s="20">
        <f>(12.95+1.75)*1.15*1.15</f>
        <v>19.440749999999994</v>
      </c>
      <c r="K48" s="7"/>
      <c r="L48" s="20">
        <f t="shared" si="3"/>
        <v>1555.2599999999995</v>
      </c>
      <c r="M48" s="7"/>
      <c r="N48" s="19" t="s">
        <v>100</v>
      </c>
      <c r="O48" s="2"/>
      <c r="P48" s="2"/>
      <c r="Q48" s="2"/>
      <c r="R48" s="2"/>
      <c r="S48" s="2"/>
      <c r="T48" s="2"/>
      <c r="U48" s="24"/>
    </row>
    <row r="49" spans="1:21" ht="15">
      <c r="A49" s="1" t="s">
        <v>131</v>
      </c>
      <c r="B49" t="s">
        <v>134</v>
      </c>
      <c r="C49" s="9"/>
      <c r="D49" s="20"/>
      <c r="E49" s="20"/>
      <c r="F49" s="20"/>
      <c r="G49" s="7"/>
      <c r="H49" s="7"/>
      <c r="I49" s="23">
        <v>15</v>
      </c>
      <c r="J49" s="20">
        <f>2.95*1.15*1.15</f>
        <v>3.901375</v>
      </c>
      <c r="K49" s="7"/>
      <c r="L49" s="20">
        <f t="shared" si="3"/>
        <v>58.520624999999995</v>
      </c>
      <c r="M49" s="7"/>
      <c r="N49" s="19"/>
      <c r="O49" s="2"/>
      <c r="P49" s="2"/>
      <c r="Q49" s="2"/>
      <c r="R49" s="2"/>
      <c r="S49" s="2"/>
      <c r="T49" s="2"/>
      <c r="U49" s="24"/>
    </row>
    <row r="50" spans="1:21" ht="15">
      <c r="A50" s="1">
        <v>11</v>
      </c>
      <c r="B50" t="s">
        <v>63</v>
      </c>
      <c r="C50" s="9">
        <v>105</v>
      </c>
      <c r="D50" s="20">
        <f>(24.95+6.75)*1.15*1.2</f>
        <v>43.745999999999995</v>
      </c>
      <c r="E50" s="20"/>
      <c r="F50" s="20">
        <f t="shared" si="2"/>
        <v>4593.33</v>
      </c>
      <c r="G50" s="7"/>
      <c r="H50" s="7"/>
      <c r="I50" s="23">
        <v>120</v>
      </c>
      <c r="J50" s="20">
        <f>(24.95+6.75)*1.15*1.15</f>
        <v>41.923249999999996</v>
      </c>
      <c r="K50" s="7"/>
      <c r="L50" s="20">
        <f t="shared" si="3"/>
        <v>5030.789999999999</v>
      </c>
      <c r="M50" s="7"/>
      <c r="N50" s="19" t="s">
        <v>103</v>
      </c>
      <c r="O50" s="2"/>
      <c r="P50" s="2"/>
      <c r="Q50" s="2"/>
      <c r="R50" s="2"/>
      <c r="S50" s="2"/>
      <c r="T50" s="2"/>
      <c r="U50" s="24"/>
    </row>
    <row r="51" spans="1:21" ht="15">
      <c r="A51" s="1" t="s">
        <v>111</v>
      </c>
      <c r="B51" t="s">
        <v>92</v>
      </c>
      <c r="C51" s="9">
        <v>0</v>
      </c>
      <c r="D51" s="20">
        <v>0</v>
      </c>
      <c r="E51" s="20"/>
      <c r="F51" s="20">
        <f t="shared" si="2"/>
        <v>0</v>
      </c>
      <c r="G51" s="7"/>
      <c r="H51" s="7"/>
      <c r="I51" s="23">
        <v>30</v>
      </c>
      <c r="J51" s="20">
        <f>29.95*1.15*1.15</f>
        <v>39.60887499999999</v>
      </c>
      <c r="K51" s="7"/>
      <c r="L51" s="20">
        <f t="shared" si="3"/>
        <v>1188.2662499999997</v>
      </c>
      <c r="M51" s="7"/>
      <c r="N51" s="19" t="s">
        <v>101</v>
      </c>
      <c r="O51" s="2"/>
      <c r="P51" s="2"/>
      <c r="Q51" s="2"/>
      <c r="R51" s="2"/>
      <c r="S51" s="2"/>
      <c r="T51" s="2"/>
      <c r="U51" s="24"/>
    </row>
    <row r="52" spans="1:21" ht="15">
      <c r="A52" s="1">
        <v>12</v>
      </c>
      <c r="B52" t="s">
        <v>26</v>
      </c>
      <c r="C52" s="9">
        <v>80</v>
      </c>
      <c r="D52" s="20">
        <f>D41</f>
        <v>16.490999999999996</v>
      </c>
      <c r="E52" s="20"/>
      <c r="F52" s="20">
        <f t="shared" si="2"/>
        <v>1319.2799999999997</v>
      </c>
      <c r="G52" s="7"/>
      <c r="H52" s="7"/>
      <c r="I52" s="23">
        <v>80</v>
      </c>
      <c r="J52" s="20">
        <f>(11.95)*1.15*1.15</f>
        <v>15.803874999999996</v>
      </c>
      <c r="K52" s="7"/>
      <c r="L52" s="20">
        <f t="shared" si="3"/>
        <v>1264.3099999999997</v>
      </c>
      <c r="M52" s="7"/>
      <c r="N52" s="19" t="s">
        <v>100</v>
      </c>
      <c r="O52" s="2"/>
      <c r="P52" s="2"/>
      <c r="Q52" s="2"/>
      <c r="R52" s="2"/>
      <c r="S52" s="2"/>
      <c r="T52" s="2"/>
      <c r="U52" s="24"/>
    </row>
    <row r="53" spans="1:21" ht="15">
      <c r="A53" s="1" t="s">
        <v>132</v>
      </c>
      <c r="B53" t="s">
        <v>133</v>
      </c>
      <c r="C53" s="9"/>
      <c r="D53" s="20"/>
      <c r="E53" s="20"/>
      <c r="F53" s="20"/>
      <c r="G53" s="7"/>
      <c r="H53" s="7"/>
      <c r="I53" s="23">
        <v>20</v>
      </c>
      <c r="J53" s="20">
        <f>2.95*1.15*1.15</f>
        <v>3.901375</v>
      </c>
      <c r="K53" s="7"/>
      <c r="L53" s="20">
        <f t="shared" si="3"/>
        <v>78.0275</v>
      </c>
      <c r="M53" s="7"/>
      <c r="N53" s="19"/>
      <c r="O53" s="2"/>
      <c r="P53" s="2"/>
      <c r="Q53" s="2"/>
      <c r="R53" s="2"/>
      <c r="S53" s="2"/>
      <c r="T53" s="2"/>
      <c r="U53" s="24"/>
    </row>
    <row r="54" spans="1:21" ht="15">
      <c r="A54" s="1">
        <v>13</v>
      </c>
      <c r="B54" t="s">
        <v>27</v>
      </c>
      <c r="C54" s="9">
        <v>105</v>
      </c>
      <c r="D54" s="20">
        <f>D47</f>
        <v>21.044999999999998</v>
      </c>
      <c r="E54" s="20"/>
      <c r="F54" s="20">
        <f t="shared" si="2"/>
        <v>2209.725</v>
      </c>
      <c r="G54" s="7"/>
      <c r="H54" s="7"/>
      <c r="I54" s="23">
        <v>80</v>
      </c>
      <c r="J54" s="20">
        <f>15.25*1.15*1.15</f>
        <v>20.168124999999996</v>
      </c>
      <c r="K54" s="7"/>
      <c r="L54" s="20">
        <f t="shared" si="3"/>
        <v>1613.4499999999998</v>
      </c>
      <c r="M54" s="7"/>
      <c r="N54" s="19" t="s">
        <v>100</v>
      </c>
      <c r="O54" s="2"/>
      <c r="P54" s="2"/>
      <c r="Q54" s="2"/>
      <c r="R54" s="2"/>
      <c r="S54" s="2"/>
      <c r="T54" s="2"/>
      <c r="U54" s="24"/>
    </row>
    <row r="55" spans="1:21" ht="15">
      <c r="A55" s="1">
        <v>14</v>
      </c>
      <c r="B55" t="s">
        <v>28</v>
      </c>
      <c r="C55" s="9">
        <v>55</v>
      </c>
      <c r="D55" s="20">
        <f>D41</f>
        <v>16.490999999999996</v>
      </c>
      <c r="E55" s="20"/>
      <c r="F55" s="20">
        <f t="shared" si="2"/>
        <v>907.0049999999998</v>
      </c>
      <c r="G55" s="7"/>
      <c r="H55" s="7"/>
      <c r="I55" s="23">
        <v>60</v>
      </c>
      <c r="J55" s="20">
        <f>(3.75+3.75+1.75)*1.15*1.15</f>
        <v>12.233124999999998</v>
      </c>
      <c r="K55" s="7"/>
      <c r="L55" s="20">
        <f t="shared" si="3"/>
        <v>733.9874999999998</v>
      </c>
      <c r="M55" s="7"/>
      <c r="N55" s="19" t="s">
        <v>102</v>
      </c>
      <c r="O55" s="2"/>
      <c r="P55" s="2"/>
      <c r="Q55" s="2"/>
      <c r="R55" s="2"/>
      <c r="S55" s="2"/>
      <c r="T55" s="2"/>
      <c r="U55" s="24"/>
    </row>
    <row r="56" spans="2:21" ht="15.75" thickBot="1">
      <c r="B56" t="s">
        <v>144</v>
      </c>
      <c r="C56" s="9"/>
      <c r="D56" s="20"/>
      <c r="E56" s="20"/>
      <c r="F56" s="20"/>
      <c r="G56" s="7"/>
      <c r="H56" s="7"/>
      <c r="I56" s="23">
        <v>1</v>
      </c>
      <c r="J56" s="20">
        <v>0.06</v>
      </c>
      <c r="K56" s="7"/>
      <c r="L56" s="20">
        <f t="shared" si="3"/>
        <v>0.06</v>
      </c>
      <c r="M56" s="7"/>
      <c r="N56" s="19"/>
      <c r="O56" s="2"/>
      <c r="P56" s="2"/>
      <c r="Q56" s="2"/>
      <c r="R56" s="2"/>
      <c r="S56" s="2"/>
      <c r="T56" s="2"/>
      <c r="U56" s="24"/>
    </row>
    <row r="57" spans="1:21" s="4" customFormat="1" ht="15.75" thickBot="1">
      <c r="A57" s="5"/>
      <c r="B57" s="3" t="s">
        <v>29</v>
      </c>
      <c r="C57" s="5"/>
      <c r="D57" s="21"/>
      <c r="E57" s="8"/>
      <c r="F57" s="8"/>
      <c r="G57" s="10">
        <f>SUM(F34:F55)</f>
        <v>47267.645</v>
      </c>
      <c r="H57" s="8"/>
      <c r="I57" s="23"/>
      <c r="J57" s="8"/>
      <c r="K57" s="8"/>
      <c r="L57" s="8"/>
      <c r="M57" s="25">
        <f>SUM(L34:L56)</f>
        <v>52612.02237499999</v>
      </c>
      <c r="N57" s="27"/>
      <c r="O57" s="18"/>
      <c r="P57" s="18"/>
      <c r="Q57" s="18"/>
      <c r="R57" s="18"/>
      <c r="S57" s="18"/>
      <c r="T57" s="18"/>
      <c r="U57" s="18"/>
    </row>
    <row r="58" spans="3:14" ht="15">
      <c r="C58" s="1"/>
      <c r="D58" s="20"/>
      <c r="E58" s="7"/>
      <c r="F58" s="7"/>
      <c r="G58" s="7"/>
      <c r="H58" s="7"/>
      <c r="I58" s="23"/>
      <c r="J58" s="7"/>
      <c r="K58" s="7"/>
      <c r="L58" s="7"/>
      <c r="M58" s="7"/>
      <c r="N58" s="7"/>
    </row>
    <row r="59" spans="2:14" ht="15">
      <c r="B59" s="4" t="s">
        <v>2</v>
      </c>
      <c r="C59" s="1"/>
      <c r="D59" s="20"/>
      <c r="E59" s="7"/>
      <c r="F59" s="7"/>
      <c r="G59" s="7"/>
      <c r="H59" s="7"/>
      <c r="I59" s="23"/>
      <c r="J59" s="7"/>
      <c r="K59" s="7"/>
      <c r="L59" s="7"/>
      <c r="M59" s="7"/>
      <c r="N59" s="7"/>
    </row>
    <row r="60" spans="1:17" ht="15">
      <c r="A60" s="1">
        <v>15</v>
      </c>
      <c r="B60" t="s">
        <v>22</v>
      </c>
      <c r="C60" s="1">
        <v>1</v>
      </c>
      <c r="D60" s="20">
        <v>4000</v>
      </c>
      <c r="E60" s="7"/>
      <c r="F60" s="7">
        <f>C60*D60</f>
        <v>4000</v>
      </c>
      <c r="G60" s="7"/>
      <c r="H60" s="7"/>
      <c r="I60" s="23">
        <v>1</v>
      </c>
      <c r="J60" s="20">
        <f>4882.33+9.75</f>
        <v>4892.08</v>
      </c>
      <c r="K60" s="20"/>
      <c r="L60" s="20">
        <f aca="true" t="shared" si="4" ref="L60:L67">I60*J60</f>
        <v>4892.08</v>
      </c>
      <c r="M60" s="7"/>
      <c r="N60" s="19" t="s">
        <v>65</v>
      </c>
      <c r="O60" s="2"/>
      <c r="P60" s="2"/>
      <c r="Q60" s="2"/>
    </row>
    <row r="61" spans="1:16" ht="15">
      <c r="A61" s="1">
        <v>16</v>
      </c>
      <c r="B61" s="2" t="s">
        <v>143</v>
      </c>
      <c r="C61" s="9">
        <v>1</v>
      </c>
      <c r="D61" s="20">
        <v>0</v>
      </c>
      <c r="E61" s="7"/>
      <c r="F61" s="7">
        <f>C61*D61</f>
        <v>0</v>
      </c>
      <c r="G61" s="7"/>
      <c r="H61" s="7"/>
      <c r="I61" s="23">
        <v>0</v>
      </c>
      <c r="J61" s="7">
        <v>0</v>
      </c>
      <c r="K61" s="7"/>
      <c r="L61" s="20">
        <f t="shared" si="4"/>
        <v>0</v>
      </c>
      <c r="M61" s="7"/>
      <c r="N61" s="19"/>
      <c r="O61" s="2"/>
      <c r="P61" s="2"/>
    </row>
    <row r="62" spans="1:21" ht="15">
      <c r="A62" s="1">
        <v>17</v>
      </c>
      <c r="B62" s="2" t="s">
        <v>52</v>
      </c>
      <c r="C62" s="1">
        <v>1</v>
      </c>
      <c r="D62" s="20">
        <f>300*1.15</f>
        <v>345</v>
      </c>
      <c r="E62" s="20"/>
      <c r="F62" s="20">
        <f>C62*D62</f>
        <v>345</v>
      </c>
      <c r="G62" s="20"/>
      <c r="H62" s="20"/>
      <c r="I62" s="23">
        <v>2</v>
      </c>
      <c r="J62" s="20">
        <v>156.25</v>
      </c>
      <c r="K62" s="20"/>
      <c r="L62" s="20">
        <f t="shared" si="4"/>
        <v>312.5</v>
      </c>
      <c r="M62" s="20"/>
      <c r="N62" s="19" t="s">
        <v>82</v>
      </c>
      <c r="O62" s="2"/>
      <c r="P62" s="2"/>
      <c r="Q62" s="2"/>
      <c r="R62" s="2"/>
      <c r="S62" s="2"/>
      <c r="T62" s="2"/>
      <c r="U62" s="2"/>
    </row>
    <row r="63" spans="1:21" ht="15">
      <c r="A63" s="1">
        <v>18</v>
      </c>
      <c r="B63" t="s">
        <v>113</v>
      </c>
      <c r="C63" s="1">
        <v>108</v>
      </c>
      <c r="D63" s="20">
        <v>61</v>
      </c>
      <c r="E63" s="20"/>
      <c r="F63" s="20">
        <f>C63*D63</f>
        <v>6588</v>
      </c>
      <c r="G63" s="20"/>
      <c r="H63" s="20"/>
      <c r="I63" s="23">
        <v>109</v>
      </c>
      <c r="J63" s="20">
        <v>61</v>
      </c>
      <c r="K63" s="20"/>
      <c r="L63" s="20">
        <f t="shared" si="4"/>
        <v>6649</v>
      </c>
      <c r="M63" s="20"/>
      <c r="N63" s="19" t="s">
        <v>104</v>
      </c>
      <c r="O63" s="2"/>
      <c r="P63" s="2"/>
      <c r="Q63" s="2"/>
      <c r="R63" s="2"/>
      <c r="S63" s="2"/>
      <c r="T63" s="2"/>
      <c r="U63" s="2"/>
    </row>
    <row r="64" spans="1:21" ht="15">
      <c r="A64" s="1" t="s">
        <v>90</v>
      </c>
      <c r="B64" t="s">
        <v>112</v>
      </c>
      <c r="C64" s="1"/>
      <c r="D64" s="20"/>
      <c r="E64" s="20"/>
      <c r="F64" s="20"/>
      <c r="G64" s="20"/>
      <c r="H64" s="20"/>
      <c r="I64" s="23">
        <v>1</v>
      </c>
      <c r="J64" s="20">
        <v>41</v>
      </c>
      <c r="K64" s="20"/>
      <c r="L64" s="20">
        <f t="shared" si="4"/>
        <v>41</v>
      </c>
      <c r="M64" s="20"/>
      <c r="N64" s="19"/>
      <c r="O64" s="2"/>
      <c r="P64" s="2"/>
      <c r="Q64" s="2"/>
      <c r="R64" s="2"/>
      <c r="S64" s="2"/>
      <c r="T64" s="2"/>
      <c r="U64" s="2"/>
    </row>
    <row r="65" spans="1:21" ht="15">
      <c r="A65" s="1" t="s">
        <v>114</v>
      </c>
      <c r="B65" t="s">
        <v>91</v>
      </c>
      <c r="C65" s="1"/>
      <c r="D65" s="20"/>
      <c r="E65" s="20"/>
      <c r="F65" s="20"/>
      <c r="G65" s="20"/>
      <c r="H65" s="20"/>
      <c r="I65" s="23">
        <v>1</v>
      </c>
      <c r="J65" s="20">
        <v>1107.71</v>
      </c>
      <c r="K65" s="20"/>
      <c r="L65" s="20">
        <f t="shared" si="4"/>
        <v>1107.71</v>
      </c>
      <c r="M65" s="20"/>
      <c r="N65" s="19" t="s">
        <v>93</v>
      </c>
      <c r="O65" s="2"/>
      <c r="P65" s="2"/>
      <c r="Q65" s="2"/>
      <c r="R65" s="2"/>
      <c r="S65" s="2"/>
      <c r="T65" s="2"/>
      <c r="U65" s="2"/>
    </row>
    <row r="66" spans="1:21" ht="15">
      <c r="A66" s="1">
        <v>19</v>
      </c>
      <c r="B66" t="s">
        <v>46</v>
      </c>
      <c r="C66" s="1">
        <v>2</v>
      </c>
      <c r="D66" s="20">
        <f>650*1.15</f>
        <v>747.4999999999999</v>
      </c>
      <c r="E66" s="20"/>
      <c r="F66" s="20">
        <f>C66*D66</f>
        <v>1494.9999999999998</v>
      </c>
      <c r="G66" s="20"/>
      <c r="H66" s="20"/>
      <c r="I66" s="1">
        <v>1</v>
      </c>
      <c r="J66" s="20">
        <f>950*1.15</f>
        <v>1092.5</v>
      </c>
      <c r="K66" s="20"/>
      <c r="L66" s="20">
        <f t="shared" si="4"/>
        <v>1092.5</v>
      </c>
      <c r="M66" s="20"/>
      <c r="N66" s="19" t="s">
        <v>83</v>
      </c>
      <c r="O66" s="2"/>
      <c r="P66" s="2"/>
      <c r="Q66" s="2"/>
      <c r="R66" s="2"/>
      <c r="S66" s="2"/>
      <c r="T66" s="2"/>
      <c r="U66" s="2"/>
    </row>
    <row r="67" spans="1:21" ht="15.75" thickBot="1">
      <c r="A67" s="1" t="s">
        <v>119</v>
      </c>
      <c r="B67" t="s">
        <v>120</v>
      </c>
      <c r="C67" s="1"/>
      <c r="D67" s="20"/>
      <c r="E67" s="20"/>
      <c r="F67" s="20"/>
      <c r="G67" s="20"/>
      <c r="H67" s="20"/>
      <c r="I67" s="1">
        <v>1</v>
      </c>
      <c r="J67" s="20">
        <v>103</v>
      </c>
      <c r="K67" s="20"/>
      <c r="L67" s="20">
        <f t="shared" si="4"/>
        <v>103</v>
      </c>
      <c r="M67" s="20"/>
      <c r="N67" s="19"/>
      <c r="O67" s="2"/>
      <c r="P67" s="2"/>
      <c r="Q67" s="2"/>
      <c r="R67" s="2"/>
      <c r="S67" s="2"/>
      <c r="T67" s="2"/>
      <c r="U67" s="2"/>
    </row>
    <row r="68" spans="1:14" s="4" customFormat="1" ht="15.75" thickBot="1">
      <c r="A68" s="5"/>
      <c r="B68" s="3" t="s">
        <v>30</v>
      </c>
      <c r="C68" s="5"/>
      <c r="D68" s="21"/>
      <c r="E68" s="8"/>
      <c r="F68" s="8"/>
      <c r="G68" s="10">
        <f>SUM(F60:F67)</f>
        <v>12428</v>
      </c>
      <c r="H68" s="8"/>
      <c r="I68" s="23"/>
      <c r="J68" s="8"/>
      <c r="K68" s="8"/>
      <c r="L68" s="8"/>
      <c r="M68" s="25">
        <f>SUM(L60:L67)</f>
        <v>14197.79</v>
      </c>
      <c r="N68" s="21"/>
    </row>
    <row r="69" spans="3:14" ht="15">
      <c r="C69" s="1"/>
      <c r="D69" s="20"/>
      <c r="E69" s="7"/>
      <c r="F69" s="7"/>
      <c r="G69" s="7"/>
      <c r="H69" s="7"/>
      <c r="I69" s="23"/>
      <c r="J69" s="7"/>
      <c r="K69" s="7"/>
      <c r="L69" s="7"/>
      <c r="M69" s="7"/>
      <c r="N69" s="7"/>
    </row>
    <row r="70" spans="2:14" ht="15">
      <c r="B70" s="4" t="s">
        <v>3</v>
      </c>
      <c r="C70" s="1"/>
      <c r="D70" s="20"/>
      <c r="E70" s="7"/>
      <c r="F70" s="7"/>
      <c r="G70" s="7"/>
      <c r="H70" s="7"/>
      <c r="I70" s="23"/>
      <c r="J70" s="7"/>
      <c r="K70" s="7"/>
      <c r="L70" s="7"/>
      <c r="M70" s="7"/>
      <c r="N70" s="7"/>
    </row>
    <row r="71" spans="1:16" ht="15.75" thickBot="1">
      <c r="A71" s="1">
        <v>20</v>
      </c>
      <c r="B71" t="s">
        <v>51</v>
      </c>
      <c r="C71" s="1">
        <v>2</v>
      </c>
      <c r="D71" s="20">
        <v>1200</v>
      </c>
      <c r="E71" s="7"/>
      <c r="F71" s="7">
        <f>C71*D71</f>
        <v>2400</v>
      </c>
      <c r="G71" s="7"/>
      <c r="H71" s="7"/>
      <c r="I71" s="23">
        <v>1</v>
      </c>
      <c r="J71" s="20">
        <v>2960.29</v>
      </c>
      <c r="K71" s="20"/>
      <c r="L71" s="20">
        <f>J71*I71</f>
        <v>2960.29</v>
      </c>
      <c r="M71" s="7"/>
      <c r="N71" s="19" t="s">
        <v>125</v>
      </c>
      <c r="O71" s="2"/>
      <c r="P71" s="2"/>
    </row>
    <row r="72" spans="2:14" ht="15.75" thickBot="1">
      <c r="B72" s="3" t="s">
        <v>31</v>
      </c>
      <c r="C72" s="1"/>
      <c r="D72" s="20"/>
      <c r="E72" s="7"/>
      <c r="F72" s="7"/>
      <c r="G72" s="10">
        <f>SUM(F71:F71)</f>
        <v>2400</v>
      </c>
      <c r="H72" s="8"/>
      <c r="I72" s="23"/>
      <c r="J72" s="8"/>
      <c r="K72" s="8"/>
      <c r="L72" s="8"/>
      <c r="M72" s="25">
        <f>SUM(L71:L71)</f>
        <v>2960.29</v>
      </c>
      <c r="N72" s="21"/>
    </row>
    <row r="73" spans="3:14" ht="15">
      <c r="C73" s="1"/>
      <c r="D73" s="20"/>
      <c r="E73" s="7"/>
      <c r="F73" s="7"/>
      <c r="G73" s="7"/>
      <c r="H73" s="7"/>
      <c r="I73" s="23"/>
      <c r="J73" s="7"/>
      <c r="K73" s="7"/>
      <c r="L73" s="7"/>
      <c r="M73" s="7"/>
      <c r="N73" s="7"/>
    </row>
    <row r="74" spans="2:14" ht="15">
      <c r="B74" s="4" t="s">
        <v>4</v>
      </c>
      <c r="C74" s="1"/>
      <c r="D74" s="20"/>
      <c r="E74" s="7"/>
      <c r="F74" s="7"/>
      <c r="G74" s="7"/>
      <c r="H74" s="7"/>
      <c r="I74" s="23"/>
      <c r="J74" s="7"/>
      <c r="K74" s="7"/>
      <c r="L74" s="7"/>
      <c r="M74" s="7"/>
      <c r="N74" s="7"/>
    </row>
    <row r="75" spans="1:14" s="2" customFormat="1" ht="15">
      <c r="A75" s="9">
        <v>21</v>
      </c>
      <c r="B75" s="2" t="s">
        <v>78</v>
      </c>
      <c r="C75" s="9">
        <v>25</v>
      </c>
      <c r="D75" s="20">
        <f>(17+6.5+5.5)/1.13*1.15</f>
        <v>29.513274336283185</v>
      </c>
      <c r="E75" s="20"/>
      <c r="F75" s="20">
        <f>C75*D75</f>
        <v>737.8318584070796</v>
      </c>
      <c r="G75" s="20"/>
      <c r="H75" s="20"/>
      <c r="I75" s="23">
        <v>1</v>
      </c>
      <c r="J75" s="20">
        <f>745.8</f>
        <v>745.8</v>
      </c>
      <c r="K75" s="20"/>
      <c r="L75" s="20">
        <f>I75*J75</f>
        <v>745.8</v>
      </c>
      <c r="M75" s="20"/>
      <c r="N75" s="19" t="s">
        <v>62</v>
      </c>
    </row>
    <row r="76" spans="1:14" s="2" customFormat="1" ht="15">
      <c r="A76" s="1">
        <v>22</v>
      </c>
      <c r="B76" s="2" t="s">
        <v>77</v>
      </c>
      <c r="C76" s="9">
        <v>1</v>
      </c>
      <c r="D76" s="20">
        <f>1700*1.15</f>
        <v>1954.9999999999998</v>
      </c>
      <c r="E76" s="20"/>
      <c r="F76" s="20">
        <f>C76*D76</f>
        <v>1954.9999999999998</v>
      </c>
      <c r="G76" s="20"/>
      <c r="H76" s="20"/>
      <c r="I76" s="23">
        <v>1</v>
      </c>
      <c r="J76" s="20">
        <f>480.25+1440.75</f>
        <v>1921</v>
      </c>
      <c r="K76" s="20"/>
      <c r="L76" s="20">
        <f>I76*J76</f>
        <v>1921</v>
      </c>
      <c r="M76" s="20"/>
      <c r="N76" s="19" t="s">
        <v>76</v>
      </c>
    </row>
    <row r="77" spans="1:14" s="2" customFormat="1" ht="15">
      <c r="A77" s="1" t="s">
        <v>124</v>
      </c>
      <c r="B77" s="2" t="s">
        <v>115</v>
      </c>
      <c r="C77" s="9"/>
      <c r="D77" s="20"/>
      <c r="E77" s="20"/>
      <c r="F77" s="20"/>
      <c r="G77" s="20"/>
      <c r="H77" s="20"/>
      <c r="I77" s="23">
        <v>1</v>
      </c>
      <c r="J77" s="20">
        <v>32.37</v>
      </c>
      <c r="K77" s="20"/>
      <c r="L77" s="20">
        <f>I77*J77</f>
        <v>32.37</v>
      </c>
      <c r="M77" s="20"/>
      <c r="N77" s="19"/>
    </row>
    <row r="78" spans="1:46" ht="15">
      <c r="A78" s="1">
        <v>23</v>
      </c>
      <c r="B78" t="s">
        <v>79</v>
      </c>
      <c r="C78" s="9">
        <v>1</v>
      </c>
      <c r="D78" s="20">
        <v>200</v>
      </c>
      <c r="E78" s="20"/>
      <c r="F78" s="20">
        <f>C78*D78</f>
        <v>200</v>
      </c>
      <c r="G78" s="20"/>
      <c r="H78" s="20"/>
      <c r="I78" s="23">
        <v>1</v>
      </c>
      <c r="J78" s="20">
        <v>92.25</v>
      </c>
      <c r="K78" s="20"/>
      <c r="L78" s="20">
        <f>I78*J78</f>
        <v>92.25</v>
      </c>
      <c r="M78" s="20"/>
      <c r="N78" s="19" t="s">
        <v>74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28" ht="15.75" thickBot="1">
      <c r="A79" s="1">
        <v>24</v>
      </c>
      <c r="B79" t="s">
        <v>81</v>
      </c>
      <c r="C79" s="9">
        <v>0</v>
      </c>
      <c r="D79" s="20">
        <f>600*1.15</f>
        <v>690</v>
      </c>
      <c r="E79" s="20"/>
      <c r="F79" s="20">
        <f>C79*D79</f>
        <v>0</v>
      </c>
      <c r="G79" s="20"/>
      <c r="H79" s="20"/>
      <c r="I79" s="23">
        <v>0</v>
      </c>
      <c r="J79" s="20">
        <v>0</v>
      </c>
      <c r="K79" s="20"/>
      <c r="L79" s="20">
        <f>I79*J79</f>
        <v>0</v>
      </c>
      <c r="M79" s="20"/>
      <c r="N79" s="19" t="s">
        <v>80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14" s="4" customFormat="1" ht="15.75" thickBot="1">
      <c r="A80" s="5"/>
      <c r="B80" s="3" t="s">
        <v>32</v>
      </c>
      <c r="C80" s="5"/>
      <c r="D80" s="21"/>
      <c r="E80" s="8"/>
      <c r="F80" s="8"/>
      <c r="G80" s="10">
        <f>SUM(F75:F79)</f>
        <v>2892.8318584070794</v>
      </c>
      <c r="H80" s="8"/>
      <c r="I80" s="23"/>
      <c r="J80" s="8"/>
      <c r="K80" s="8"/>
      <c r="L80" s="8"/>
      <c r="M80" s="10">
        <f>SUM(L75:L79)</f>
        <v>2791.42</v>
      </c>
      <c r="N80" s="8"/>
    </row>
    <row r="81" spans="3:14" ht="15">
      <c r="C81" s="1"/>
      <c r="D81" s="20"/>
      <c r="E81" s="7"/>
      <c r="F81" s="7"/>
      <c r="G81" s="7"/>
      <c r="H81" s="7"/>
      <c r="I81" s="23"/>
      <c r="J81" s="7"/>
      <c r="K81" s="7"/>
      <c r="L81" s="7"/>
      <c r="M81" s="7"/>
      <c r="N81" s="7"/>
    </row>
    <row r="82" spans="2:14" ht="15">
      <c r="B82" s="4" t="s">
        <v>5</v>
      </c>
      <c r="C82" s="1"/>
      <c r="D82" s="20"/>
      <c r="E82" s="7"/>
      <c r="F82" s="7"/>
      <c r="G82" s="7"/>
      <c r="H82" s="7"/>
      <c r="I82" s="23"/>
      <c r="J82" s="7"/>
      <c r="K82" s="7"/>
      <c r="L82" s="7"/>
      <c r="M82" s="7"/>
      <c r="N82" s="7"/>
    </row>
    <row r="83" spans="1:17" ht="15">
      <c r="A83" s="1">
        <v>25</v>
      </c>
      <c r="B83" t="s">
        <v>33</v>
      </c>
      <c r="C83" s="1">
        <v>1</v>
      </c>
      <c r="D83" s="20">
        <v>0</v>
      </c>
      <c r="E83" s="7"/>
      <c r="F83" s="7">
        <f aca="true" t="shared" si="5" ref="F83:F101">C83*D83</f>
        <v>0</v>
      </c>
      <c r="G83" s="7"/>
      <c r="H83" s="7"/>
      <c r="I83" s="23">
        <v>0</v>
      </c>
      <c r="J83" s="7">
        <v>0</v>
      </c>
      <c r="K83" s="7"/>
      <c r="L83" s="20">
        <f aca="true" t="shared" si="6" ref="L83:L89">I83*J83</f>
        <v>0</v>
      </c>
      <c r="M83" s="7"/>
      <c r="N83" s="19"/>
      <c r="O83" s="2"/>
      <c r="P83" s="2"/>
      <c r="Q83" s="2"/>
    </row>
    <row r="84" spans="1:38" ht="15">
      <c r="A84" s="1">
        <v>26</v>
      </c>
      <c r="B84" t="s">
        <v>71</v>
      </c>
      <c r="C84" s="9">
        <v>1</v>
      </c>
      <c r="D84" s="20">
        <v>1500</v>
      </c>
      <c r="E84" s="20"/>
      <c r="F84" s="20">
        <f t="shared" si="5"/>
        <v>1500</v>
      </c>
      <c r="G84" s="20"/>
      <c r="H84" s="20"/>
      <c r="I84" s="23">
        <v>1</v>
      </c>
      <c r="J84" s="20">
        <f>113+1484.3+12.48</f>
        <v>1609.78</v>
      </c>
      <c r="K84" s="20"/>
      <c r="L84" s="20">
        <f t="shared" si="6"/>
        <v>1609.78</v>
      </c>
      <c r="M84" s="20"/>
      <c r="N84" s="19" t="s">
        <v>73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5">
      <c r="A85" s="1" t="s">
        <v>88</v>
      </c>
      <c r="B85" t="s">
        <v>89</v>
      </c>
      <c r="C85" s="9"/>
      <c r="D85" s="20"/>
      <c r="E85" s="20"/>
      <c r="F85" s="20"/>
      <c r="G85" s="20"/>
      <c r="H85" s="20"/>
      <c r="I85" s="23">
        <v>1</v>
      </c>
      <c r="J85" s="20">
        <v>504.58</v>
      </c>
      <c r="K85" s="20"/>
      <c r="L85" s="20">
        <f t="shared" si="6"/>
        <v>504.58</v>
      </c>
      <c r="M85" s="20"/>
      <c r="N85" s="1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17" ht="15">
      <c r="A86" s="1">
        <v>27</v>
      </c>
      <c r="B86" t="s">
        <v>54</v>
      </c>
      <c r="C86" s="1">
        <v>1</v>
      </c>
      <c r="D86" s="20">
        <v>1500</v>
      </c>
      <c r="E86" s="7"/>
      <c r="F86" s="7">
        <f t="shared" si="5"/>
        <v>1500</v>
      </c>
      <c r="G86" s="7"/>
      <c r="H86" s="7"/>
      <c r="I86" s="23">
        <v>1</v>
      </c>
      <c r="J86" s="20">
        <v>726.8</v>
      </c>
      <c r="K86" s="7"/>
      <c r="L86" s="20">
        <f t="shared" si="6"/>
        <v>726.8</v>
      </c>
      <c r="M86" s="7"/>
      <c r="N86" s="19" t="s">
        <v>53</v>
      </c>
      <c r="O86" s="2"/>
      <c r="P86" s="2"/>
      <c r="Q86" s="2"/>
    </row>
    <row r="87" spans="1:17" ht="15">
      <c r="A87" s="1" t="s">
        <v>149</v>
      </c>
      <c r="B87" t="s">
        <v>150</v>
      </c>
      <c r="C87" s="1"/>
      <c r="D87" s="20"/>
      <c r="E87" s="7"/>
      <c r="F87" s="7"/>
      <c r="G87" s="7"/>
      <c r="H87" s="7"/>
      <c r="I87" s="23">
        <v>1</v>
      </c>
      <c r="J87" s="20">
        <v>2638.75</v>
      </c>
      <c r="K87" s="7"/>
      <c r="L87" s="20">
        <f t="shared" si="6"/>
        <v>2638.75</v>
      </c>
      <c r="M87" s="7"/>
      <c r="N87" s="19" t="s">
        <v>151</v>
      </c>
      <c r="O87" s="2"/>
      <c r="P87" s="2"/>
      <c r="Q87" s="2"/>
    </row>
    <row r="88" spans="1:16" ht="15">
      <c r="A88" s="1">
        <v>28</v>
      </c>
      <c r="B88" t="s">
        <v>50</v>
      </c>
      <c r="C88" s="1">
        <v>1</v>
      </c>
      <c r="D88" s="20">
        <v>500</v>
      </c>
      <c r="E88" s="7"/>
      <c r="F88" s="7">
        <f t="shared" si="5"/>
        <v>500</v>
      </c>
      <c r="G88" s="7"/>
      <c r="H88" s="7"/>
      <c r="I88" s="23">
        <v>1</v>
      </c>
      <c r="J88" s="20">
        <v>172.5</v>
      </c>
      <c r="K88" s="7"/>
      <c r="L88" s="20">
        <f t="shared" si="6"/>
        <v>172.5</v>
      </c>
      <c r="M88" s="7"/>
      <c r="N88" s="19"/>
      <c r="O88" s="2"/>
      <c r="P88" s="2"/>
    </row>
    <row r="89" spans="1:24" ht="15">
      <c r="A89" s="1">
        <v>29</v>
      </c>
      <c r="B89" s="2" t="s">
        <v>34</v>
      </c>
      <c r="C89" s="9">
        <v>1</v>
      </c>
      <c r="D89" s="20">
        <v>1000</v>
      </c>
      <c r="E89" s="20"/>
      <c r="F89" s="20">
        <f t="shared" si="5"/>
        <v>1000</v>
      </c>
      <c r="G89" s="20"/>
      <c r="H89" s="20"/>
      <c r="I89" s="23">
        <v>1</v>
      </c>
      <c r="J89" s="20">
        <v>674.02</v>
      </c>
      <c r="K89" s="20"/>
      <c r="L89" s="20">
        <f t="shared" si="6"/>
        <v>674.02</v>
      </c>
      <c r="M89" s="20"/>
      <c r="N89" s="19" t="s">
        <v>72</v>
      </c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16" ht="15">
      <c r="A90" s="9">
        <v>30</v>
      </c>
      <c r="B90" t="s">
        <v>59</v>
      </c>
      <c r="C90" s="1">
        <v>1</v>
      </c>
      <c r="D90" s="20">
        <v>1000</v>
      </c>
      <c r="E90" s="7"/>
      <c r="F90" s="7">
        <f t="shared" si="5"/>
        <v>1000</v>
      </c>
      <c r="G90" s="7"/>
      <c r="H90" s="7"/>
      <c r="I90" s="23">
        <v>1</v>
      </c>
      <c r="J90" s="20">
        <f>77.68+14.47</f>
        <v>92.15</v>
      </c>
      <c r="K90" s="20"/>
      <c r="L90" s="20">
        <f>I90*J90</f>
        <v>92.15</v>
      </c>
      <c r="M90" s="20"/>
      <c r="N90" s="19"/>
      <c r="O90" s="2"/>
      <c r="P90" s="2"/>
    </row>
    <row r="91" spans="1:16" ht="15">
      <c r="A91" s="9" t="s">
        <v>145</v>
      </c>
      <c r="B91" t="s">
        <v>146</v>
      </c>
      <c r="C91" s="1"/>
      <c r="D91" s="20"/>
      <c r="E91" s="7"/>
      <c r="F91" s="7"/>
      <c r="G91" s="7"/>
      <c r="H91" s="7"/>
      <c r="I91" s="23">
        <v>2</v>
      </c>
      <c r="J91" s="20">
        <v>0</v>
      </c>
      <c r="K91" s="20"/>
      <c r="L91" s="20">
        <f>I91*J91</f>
        <v>0</v>
      </c>
      <c r="M91" s="20"/>
      <c r="N91" s="17" t="s">
        <v>154</v>
      </c>
      <c r="O91" s="2"/>
      <c r="P91" s="2"/>
    </row>
    <row r="92" spans="1:14" s="2" customFormat="1" ht="15">
      <c r="A92" s="1">
        <v>31</v>
      </c>
      <c r="B92" s="2" t="s">
        <v>66</v>
      </c>
      <c r="C92" s="9">
        <v>1</v>
      </c>
      <c r="D92" s="20">
        <v>750</v>
      </c>
      <c r="E92" s="20"/>
      <c r="F92" s="20">
        <f t="shared" si="5"/>
        <v>750</v>
      </c>
      <c r="G92" s="20"/>
      <c r="H92" s="20"/>
      <c r="I92" s="23">
        <v>1</v>
      </c>
      <c r="J92" s="20">
        <v>578.56</v>
      </c>
      <c r="K92" s="20"/>
      <c r="L92" s="20">
        <f aca="true" t="shared" si="7" ref="L92:L101">I92*J92</f>
        <v>578.56</v>
      </c>
      <c r="M92" s="20"/>
      <c r="N92" s="19" t="s">
        <v>94</v>
      </c>
    </row>
    <row r="93" spans="1:14" ht="15">
      <c r="A93" s="1">
        <v>32</v>
      </c>
      <c r="B93" t="s">
        <v>35</v>
      </c>
      <c r="C93" s="1">
        <v>1</v>
      </c>
      <c r="D93" s="20">
        <v>800</v>
      </c>
      <c r="E93" s="7"/>
      <c r="F93" s="7">
        <f t="shared" si="5"/>
        <v>800</v>
      </c>
      <c r="G93" s="7"/>
      <c r="H93" s="7"/>
      <c r="I93" s="23">
        <v>1</v>
      </c>
      <c r="J93" s="20">
        <v>800</v>
      </c>
      <c r="K93" s="7"/>
      <c r="L93" s="20">
        <f t="shared" si="7"/>
        <v>800</v>
      </c>
      <c r="M93" s="7"/>
      <c r="N93" s="19"/>
    </row>
    <row r="94" spans="1:21" ht="15">
      <c r="A94" s="1">
        <v>33</v>
      </c>
      <c r="B94" t="s">
        <v>37</v>
      </c>
      <c r="C94" s="1">
        <v>18</v>
      </c>
      <c r="D94" s="20">
        <v>2.95</v>
      </c>
      <c r="E94" s="7"/>
      <c r="F94" s="7">
        <f t="shared" si="5"/>
        <v>53.1</v>
      </c>
      <c r="G94" s="7"/>
      <c r="H94" s="7"/>
      <c r="I94" s="23">
        <v>1</v>
      </c>
      <c r="J94" s="20">
        <f>38.11+3.95*14+13</f>
        <v>106.41</v>
      </c>
      <c r="K94" s="20"/>
      <c r="L94" s="20">
        <f t="shared" si="7"/>
        <v>106.41</v>
      </c>
      <c r="M94" s="20"/>
      <c r="N94" s="19" t="s">
        <v>155</v>
      </c>
      <c r="O94" s="2"/>
      <c r="P94" s="2"/>
      <c r="Q94" s="2"/>
      <c r="R94" s="2"/>
      <c r="S94" s="2"/>
      <c r="T94" s="2"/>
      <c r="U94" s="2"/>
    </row>
    <row r="95" spans="1:26" ht="15">
      <c r="A95" s="1">
        <v>34</v>
      </c>
      <c r="B95" s="2" t="s">
        <v>70</v>
      </c>
      <c r="C95" s="9">
        <v>0</v>
      </c>
      <c r="D95" s="20">
        <f>50*0.3+0.029*(F14+F15+F16+F19+F21+F25)</f>
        <v>1789.8000000000002</v>
      </c>
      <c r="E95" s="20"/>
      <c r="F95" s="20">
        <f t="shared" si="5"/>
        <v>0</v>
      </c>
      <c r="G95" s="20"/>
      <c r="H95" s="20"/>
      <c r="I95" s="23">
        <v>0</v>
      </c>
      <c r="J95" s="20">
        <v>0</v>
      </c>
      <c r="K95" s="20"/>
      <c r="L95" s="20">
        <f t="shared" si="7"/>
        <v>0</v>
      </c>
      <c r="M95" s="20"/>
      <c r="N95" s="19" t="s">
        <v>67</v>
      </c>
      <c r="O95" s="2"/>
      <c r="P95" s="2"/>
      <c r="Q95" s="2"/>
      <c r="R95" s="2"/>
      <c r="S95" s="2"/>
      <c r="T95" s="2"/>
      <c r="U95" s="2"/>
      <c r="V95" s="2"/>
      <c r="W95" s="2"/>
      <c r="X95" s="2"/>
      <c r="Z95" s="24"/>
    </row>
    <row r="96" spans="1:16" ht="15">
      <c r="A96" s="1">
        <v>35</v>
      </c>
      <c r="B96" t="s">
        <v>48</v>
      </c>
      <c r="C96" s="1">
        <v>1</v>
      </c>
      <c r="D96" s="20">
        <v>500</v>
      </c>
      <c r="E96" s="7"/>
      <c r="F96" s="7">
        <f t="shared" si="5"/>
        <v>500</v>
      </c>
      <c r="G96" s="7"/>
      <c r="H96" s="7"/>
      <c r="I96" s="23">
        <v>0</v>
      </c>
      <c r="J96" s="7">
        <v>0</v>
      </c>
      <c r="K96" s="7"/>
      <c r="L96" s="20">
        <f t="shared" si="7"/>
        <v>0</v>
      </c>
      <c r="M96" s="7"/>
      <c r="N96" s="19"/>
      <c r="O96" s="2"/>
      <c r="P96" s="2"/>
    </row>
    <row r="97" spans="1:14" ht="15">
      <c r="A97" s="1">
        <v>36</v>
      </c>
      <c r="B97" t="s">
        <v>42</v>
      </c>
      <c r="C97" s="1">
        <v>1</v>
      </c>
      <c r="D97" s="20">
        <v>1000</v>
      </c>
      <c r="E97" s="7"/>
      <c r="F97" s="7">
        <f t="shared" si="5"/>
        <v>1000</v>
      </c>
      <c r="G97" s="7"/>
      <c r="H97" s="7"/>
      <c r="I97" s="23">
        <v>1</v>
      </c>
      <c r="J97" s="7">
        <v>1000</v>
      </c>
      <c r="K97" s="7"/>
      <c r="L97" s="20">
        <f t="shared" si="7"/>
        <v>1000</v>
      </c>
      <c r="M97" s="7"/>
      <c r="N97" s="17"/>
    </row>
    <row r="98" spans="1:14" ht="15">
      <c r="A98" s="9">
        <v>37</v>
      </c>
      <c r="B98" s="2" t="s">
        <v>44</v>
      </c>
      <c r="C98" s="9">
        <v>1</v>
      </c>
      <c r="D98" s="20">
        <v>5000</v>
      </c>
      <c r="E98" s="20"/>
      <c r="F98" s="20">
        <f t="shared" si="5"/>
        <v>5000</v>
      </c>
      <c r="G98" s="20"/>
      <c r="H98" s="20"/>
      <c r="I98" s="23">
        <v>0</v>
      </c>
      <c r="J98" s="20">
        <v>5000</v>
      </c>
      <c r="K98" s="20"/>
      <c r="L98" s="20">
        <f t="shared" si="7"/>
        <v>0</v>
      </c>
      <c r="M98" s="7"/>
      <c r="N98" s="17" t="s">
        <v>156</v>
      </c>
    </row>
    <row r="99" spans="1:14" s="2" customFormat="1" ht="15">
      <c r="A99" s="1" t="s">
        <v>117</v>
      </c>
      <c r="B99" s="2" t="s">
        <v>153</v>
      </c>
      <c r="C99" s="9"/>
      <c r="D99" s="20"/>
      <c r="E99" s="20"/>
      <c r="F99" s="20"/>
      <c r="G99" s="20"/>
      <c r="H99" s="20"/>
      <c r="I99" s="23">
        <v>1</v>
      </c>
      <c r="J99" s="20">
        <v>476.91</v>
      </c>
      <c r="K99" s="20"/>
      <c r="L99" s="20">
        <f>I99*J99</f>
        <v>476.91</v>
      </c>
      <c r="M99" s="20"/>
      <c r="N99" s="19"/>
    </row>
    <row r="100" spans="1:14" ht="15">
      <c r="A100" s="1" t="s">
        <v>152</v>
      </c>
      <c r="B100" s="2" t="s">
        <v>118</v>
      </c>
      <c r="C100" s="1"/>
      <c r="D100" s="20"/>
      <c r="E100" s="20"/>
      <c r="F100" s="20"/>
      <c r="G100" s="20"/>
      <c r="H100" s="7"/>
      <c r="I100" s="23">
        <v>1</v>
      </c>
      <c r="J100" s="20">
        <v>278.01</v>
      </c>
      <c r="K100" s="20"/>
      <c r="L100" s="20">
        <f t="shared" si="7"/>
        <v>278.01</v>
      </c>
      <c r="M100" s="7"/>
      <c r="N100" s="17"/>
    </row>
    <row r="101" spans="1:17" ht="15.75" thickBot="1">
      <c r="A101" s="1">
        <v>38</v>
      </c>
      <c r="B101" t="s">
        <v>36</v>
      </c>
      <c r="C101" s="1">
        <v>1</v>
      </c>
      <c r="D101" s="20">
        <v>884.42</v>
      </c>
      <c r="E101" s="20"/>
      <c r="F101" s="20">
        <f t="shared" si="5"/>
        <v>884.42</v>
      </c>
      <c r="G101" s="20"/>
      <c r="H101" s="7"/>
      <c r="I101" s="23">
        <v>1</v>
      </c>
      <c r="J101" s="7">
        <v>0</v>
      </c>
      <c r="K101" s="7"/>
      <c r="L101" s="20">
        <f t="shared" si="7"/>
        <v>0</v>
      </c>
      <c r="M101" s="7"/>
      <c r="N101" s="19"/>
      <c r="O101" s="2"/>
      <c r="P101" s="2"/>
      <c r="Q101" s="2"/>
    </row>
    <row r="102" spans="1:17" s="4" customFormat="1" ht="15.75" thickBot="1">
      <c r="A102" s="5"/>
      <c r="B102" s="3" t="s">
        <v>38</v>
      </c>
      <c r="C102" s="5"/>
      <c r="D102" s="21"/>
      <c r="E102" s="21"/>
      <c r="F102" s="21"/>
      <c r="G102" s="25">
        <f>SUM(F83:F101)</f>
        <v>14487.52</v>
      </c>
      <c r="H102" s="8"/>
      <c r="I102" s="23"/>
      <c r="J102" s="8"/>
      <c r="K102" s="8"/>
      <c r="L102" s="8"/>
      <c r="M102" s="10">
        <f>SUM(L83:L101)</f>
        <v>9658.47</v>
      </c>
      <c r="N102" s="8"/>
      <c r="Q102" s="18"/>
    </row>
    <row r="103" spans="3:17" ht="15">
      <c r="C103" s="1"/>
      <c r="D103" s="20"/>
      <c r="E103" s="20"/>
      <c r="F103" s="20"/>
      <c r="G103" s="20"/>
      <c r="H103" s="7"/>
      <c r="I103" s="23"/>
      <c r="J103" s="7"/>
      <c r="K103" s="7"/>
      <c r="L103" s="7"/>
      <c r="M103" s="7"/>
      <c r="N103" s="7"/>
      <c r="Q103" s="2"/>
    </row>
    <row r="104" spans="1:17" s="4" customFormat="1" ht="15">
      <c r="A104" s="5"/>
      <c r="B104" s="18" t="s">
        <v>6</v>
      </c>
      <c r="C104" s="5"/>
      <c r="D104" s="21"/>
      <c r="E104" s="21"/>
      <c r="F104" s="21"/>
      <c r="G104" s="21"/>
      <c r="H104" s="8"/>
      <c r="I104" s="23"/>
      <c r="J104" s="8"/>
      <c r="K104" s="8"/>
      <c r="L104" s="8"/>
      <c r="M104" s="8"/>
      <c r="N104" s="8"/>
      <c r="Q104" s="18"/>
    </row>
    <row r="105" spans="1:23" ht="15">
      <c r="A105" s="1">
        <v>39</v>
      </c>
      <c r="B105" s="2" t="s">
        <v>47</v>
      </c>
      <c r="C105" s="1">
        <v>4</v>
      </c>
      <c r="D105" s="20">
        <v>250</v>
      </c>
      <c r="E105" s="20"/>
      <c r="F105" s="20">
        <f>C105*D105</f>
        <v>1000</v>
      </c>
      <c r="G105" s="20"/>
      <c r="H105" s="7"/>
      <c r="I105" s="23">
        <v>1</v>
      </c>
      <c r="J105" s="20">
        <v>651.47</v>
      </c>
      <c r="K105" s="20"/>
      <c r="L105" s="20">
        <f>I105*J105</f>
        <v>651.47</v>
      </c>
      <c r="M105" s="7"/>
      <c r="N105" s="19" t="s">
        <v>69</v>
      </c>
      <c r="O105" s="2"/>
      <c r="P105" s="2"/>
      <c r="Q105" s="2"/>
      <c r="R105" s="2"/>
      <c r="S105" s="2"/>
      <c r="T105" s="2"/>
      <c r="U105" s="2"/>
      <c r="V105" s="2"/>
      <c r="W105" s="2"/>
    </row>
    <row r="106" spans="1:14" s="2" customFormat="1" ht="15.75" thickBot="1">
      <c r="A106" s="9">
        <v>40</v>
      </c>
      <c r="B106" s="2" t="s">
        <v>61</v>
      </c>
      <c r="C106" s="9">
        <v>1</v>
      </c>
      <c r="D106" s="20">
        <v>1000</v>
      </c>
      <c r="E106" s="20"/>
      <c r="F106" s="20">
        <f>C106*D106</f>
        <v>1000</v>
      </c>
      <c r="G106" s="20"/>
      <c r="H106" s="20"/>
      <c r="I106" s="23">
        <v>1</v>
      </c>
      <c r="J106" s="20">
        <f>866.94</f>
        <v>866.94</v>
      </c>
      <c r="K106" s="20"/>
      <c r="L106" s="20">
        <f>I106*J106</f>
        <v>866.94</v>
      </c>
      <c r="M106" s="20"/>
      <c r="N106" s="19"/>
    </row>
    <row r="107" spans="1:14" s="4" customFormat="1" ht="15.75" thickBot="1">
      <c r="A107" s="5"/>
      <c r="B107" s="22" t="s">
        <v>39</v>
      </c>
      <c r="C107" s="5"/>
      <c r="D107" s="21"/>
      <c r="E107" s="21"/>
      <c r="F107" s="21"/>
      <c r="G107" s="25">
        <f>SUM(F105:F106)</f>
        <v>2000</v>
      </c>
      <c r="H107" s="8"/>
      <c r="I107" s="23"/>
      <c r="J107" s="8"/>
      <c r="K107" s="8"/>
      <c r="L107" s="8"/>
      <c r="M107" s="10">
        <f>SUM(L105:L106)</f>
        <v>1518.41</v>
      </c>
      <c r="N107" s="8"/>
    </row>
    <row r="108" spans="3:14" ht="15">
      <c r="C108" s="1"/>
      <c r="D108" s="20"/>
      <c r="E108" s="20"/>
      <c r="F108" s="20"/>
      <c r="G108" s="20"/>
      <c r="H108" s="7"/>
      <c r="I108" s="23"/>
      <c r="J108" s="7"/>
      <c r="K108" s="7"/>
      <c r="L108" s="7"/>
      <c r="M108" s="7"/>
      <c r="N108" s="7"/>
    </row>
    <row r="109" spans="3:14" ht="15.75" thickBot="1">
      <c r="C109" s="1"/>
      <c r="D109" s="20"/>
      <c r="E109" s="20"/>
      <c r="F109" s="20"/>
      <c r="G109" s="20"/>
      <c r="H109" s="7"/>
      <c r="I109" s="23"/>
      <c r="J109" s="7"/>
      <c r="K109" s="7"/>
      <c r="L109" s="7"/>
      <c r="M109" s="7"/>
      <c r="N109" s="7"/>
    </row>
    <row r="110" spans="2:14" ht="15.75" thickBot="1">
      <c r="B110" s="3" t="s">
        <v>40</v>
      </c>
      <c r="C110" s="1"/>
      <c r="D110" s="20"/>
      <c r="E110" s="20"/>
      <c r="F110" s="20"/>
      <c r="G110" s="25">
        <f>SUM(G34:G107)</f>
        <v>81475.99685840707</v>
      </c>
      <c r="H110" s="8"/>
      <c r="I110" s="23"/>
      <c r="J110" s="8"/>
      <c r="K110" s="8"/>
      <c r="L110" s="8"/>
      <c r="M110" s="10">
        <f>SUM(M34:M107)</f>
        <v>83738.40237499999</v>
      </c>
      <c r="N110" s="7"/>
    </row>
    <row r="111" spans="3:14" ht="15.75" thickBot="1">
      <c r="C111" s="1"/>
      <c r="D111" s="20"/>
      <c r="E111" s="20"/>
      <c r="F111" s="20"/>
      <c r="G111" s="20"/>
      <c r="H111" s="20"/>
      <c r="I111" s="23"/>
      <c r="J111" s="7"/>
      <c r="K111" s="7"/>
      <c r="L111" s="7"/>
      <c r="M111" s="7"/>
      <c r="N111" s="7"/>
    </row>
    <row r="112" spans="2:14" ht="15.75" thickBot="1">
      <c r="B112" s="3" t="s">
        <v>45</v>
      </c>
      <c r="C112" s="1"/>
      <c r="D112" s="20"/>
      <c r="E112" s="20"/>
      <c r="F112" s="20"/>
      <c r="G112" s="25">
        <f>G30-G110</f>
        <v>0.003141592926112935</v>
      </c>
      <c r="H112" s="8"/>
      <c r="I112" s="23"/>
      <c r="J112" s="8"/>
      <c r="K112" s="8"/>
      <c r="L112" s="8"/>
      <c r="M112" s="10">
        <f>M30-M110</f>
        <v>674.5176250000077</v>
      </c>
      <c r="N112" s="7"/>
    </row>
    <row r="113" spans="3:14" ht="15">
      <c r="C113" s="1"/>
      <c r="D113" s="7"/>
      <c r="E113" s="7"/>
      <c r="F113" s="7"/>
      <c r="G113" s="7"/>
      <c r="H113" s="7"/>
      <c r="I113" s="23"/>
      <c r="J113" s="7"/>
      <c r="K113" s="7"/>
      <c r="L113" s="7"/>
      <c r="M113" s="7"/>
      <c r="N113" s="7"/>
    </row>
    <row r="114" spans="1:14" ht="15">
      <c r="A114"/>
      <c r="C114" s="1"/>
      <c r="D114" s="7"/>
      <c r="E114" s="7"/>
      <c r="F114" s="7"/>
      <c r="G114" s="7"/>
      <c r="H114" s="7"/>
      <c r="I114" s="23"/>
      <c r="J114" s="7"/>
      <c r="K114" s="7"/>
      <c r="L114" s="7"/>
      <c r="M114" s="7"/>
      <c r="N114" s="7"/>
    </row>
    <row r="115" spans="1:14" ht="15">
      <c r="A115"/>
      <c r="C115" s="1"/>
      <c r="D115" s="7"/>
      <c r="E115" s="7"/>
      <c r="F115" s="7"/>
      <c r="G115" s="7"/>
      <c r="H115" s="7"/>
      <c r="I115" s="23"/>
      <c r="J115" s="7"/>
      <c r="K115" s="7"/>
      <c r="L115" s="7"/>
      <c r="M115" s="7"/>
      <c r="N115" s="7"/>
    </row>
    <row r="116" spans="1:14" ht="15">
      <c r="A116"/>
      <c r="C116" s="1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/>
      <c r="C117" s="1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/>
      <c r="C118" s="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/>
      <c r="C119" s="1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/>
      <c r="C120" s="1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/>
      <c r="C121" s="1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/>
      <c r="C122" s="1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/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/>
      <c r="C124" s="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/>
      <c r="C125" s="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/>
      <c r="C126" s="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/>
      <c r="C127" s="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/>
      <c r="C128" s="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/>
      <c r="C129" s="1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/>
      <c r="C130" s="1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/>
      <c r="C131" s="1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/>
      <c r="C132" s="1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/>
      <c r="C133" s="1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/>
      <c r="C134" s="1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/>
      <c r="C135" s="1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/>
      <c r="C136" s="1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/>
      <c r="C137" s="1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/>
      <c r="C138" s="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/>
      <c r="C140" s="1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/>
      <c r="C141" s="1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/>
      <c r="C142" s="1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/>
      <c r="C143" s="1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/>
      <c r="C144" s="1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/>
      <c r="C145" s="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/>
      <c r="C146" s="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/>
      <c r="C147" s="1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/>
      <c r="C148" s="1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/>
      <c r="C149" s="1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/>
      <c r="C150" s="1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/>
      <c r="C151" s="1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/>
      <c r="C152" s="1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/>
      <c r="C153" s="1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/>
      <c r="C154" s="1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/>
      <c r="C155" s="1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/>
      <c r="C156" s="1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/>
      <c r="C157" s="1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/>
      <c r="C158" s="1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/>
      <c r="C159" s="1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/>
      <c r="C160" s="1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/>
      <c r="C161" s="1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/>
      <c r="C162" s="1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/>
      <c r="C163" s="1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/>
      <c r="C164" s="1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/>
      <c r="C165" s="1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/>
      <c r="C166" s="1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/>
      <c r="C167" s="1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/>
      <c r="C168" s="1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/>
      <c r="C169" s="1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/>
      <c r="C170" s="1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/>
      <c r="C171" s="1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/>
      <c r="C172" s="1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/>
      <c r="C173" s="1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/>
      <c r="C174" s="1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/>
      <c r="C175" s="1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/>
      <c r="C176" s="1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/>
      <c r="C177" s="1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/>
      <c r="C178" s="1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/>
      <c r="C179" s="1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/>
      <c r="C180" s="1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/>
      <c r="C181" s="1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/>
      <c r="C182" s="1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/>
      <c r="C183" s="1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/>
      <c r="C184" s="1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/>
      <c r="C185" s="1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/>
      <c r="C186" s="1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/>
      <c r="C187" s="1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/>
      <c r="C188" s="1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/>
      <c r="C189" s="1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/>
      <c r="C190" s="1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/>
      <c r="C191" s="1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/>
      <c r="C192" s="1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/>
      <c r="C193" s="1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/>
      <c r="C194" s="1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/>
      <c r="C195" s="1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/>
      <c r="C196" s="1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/>
      <c r="C197" s="1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/>
      <c r="C198" s="1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/>
      <c r="C199" s="1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/>
      <c r="C200" s="1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/>
      <c r="C201" s="1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/>
      <c r="C202" s="1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/>
      <c r="C203" s="1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/>
      <c r="C204" s="1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/>
      <c r="C205" s="1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</sheetData>
  <sheetProtection/>
  <mergeCells count="6">
    <mergeCell ref="N21:T22"/>
    <mergeCell ref="A7:M7"/>
    <mergeCell ref="A8:M8"/>
    <mergeCell ref="I10:M10"/>
    <mergeCell ref="C10:G10"/>
    <mergeCell ref="N19:T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3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Boudreau</dc:creator>
  <cp:keywords/>
  <dc:description/>
  <cp:lastModifiedBy>Dan Boudreau</cp:lastModifiedBy>
  <cp:lastPrinted>2016-11-16T12:42:11Z</cp:lastPrinted>
  <dcterms:created xsi:type="dcterms:W3CDTF">2015-02-06T20:37:34Z</dcterms:created>
  <dcterms:modified xsi:type="dcterms:W3CDTF">2017-02-13T14:57:50Z</dcterms:modified>
  <cp:category/>
  <cp:version/>
  <cp:contentType/>
  <cp:contentStatus/>
</cp:coreProperties>
</file>